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R:\BPI\CAPACITACIÓN SPIIP\2019\Programas\MGA\"/>
    </mc:Choice>
  </mc:AlternateContent>
  <xr:revisionPtr revIDLastSave="0" documentId="8_{0E8F6587-8994-4982-95DE-EB2BC5A4FE29}" xr6:coauthVersionLast="41" xr6:coauthVersionMax="41" xr10:uidLastSave="{00000000-0000-0000-0000-000000000000}"/>
  <bookViews>
    <workbookView xWindow="-120" yWindow="-120" windowWidth="29040" windowHeight="17640" activeTab="5" xr2:uid="{00000000-000D-0000-FFFF-FFFF00000000}"/>
  </bookViews>
  <sheets>
    <sheet name="Demanda" sheetId="2" r:id="rId1"/>
    <sheet name="IngresosyBenef" sheetId="3" r:id="rId2"/>
    <sheet name="FlujoFro" sheetId="4" r:id="rId3"/>
    <sheet name="FlujoEcon" sheetId="5" r:id="rId4"/>
    <sheet name="VPN-TIR" sheetId="22" r:id="rId5"/>
    <sheet name="VPNE-TIRE" sheetId="23" r:id="rId6"/>
    <sheet name="Tabla 10.1" sheetId="14" state="hidden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23" l="1"/>
  <c r="D17" i="4"/>
  <c r="C7" i="2"/>
  <c r="C6" i="2"/>
  <c r="E6" i="2"/>
  <c r="L4" i="14" l="1"/>
  <c r="K4" i="14"/>
  <c r="J4" i="14"/>
  <c r="I4" i="14"/>
  <c r="H4" i="14"/>
  <c r="G4" i="14"/>
  <c r="F4" i="14"/>
  <c r="E4" i="14"/>
  <c r="D4" i="14"/>
  <c r="C4" i="14"/>
  <c r="B6" i="14" s="1"/>
  <c r="B5" i="14" l="1"/>
  <c r="N17" i="5" l="1"/>
  <c r="D12" i="5"/>
  <c r="D11" i="5"/>
  <c r="D10" i="5"/>
  <c r="D9" i="5"/>
  <c r="D8" i="5"/>
  <c r="D8" i="4"/>
  <c r="C4" i="22" s="1"/>
  <c r="C5" i="22" s="1"/>
  <c r="D18" i="5" l="1"/>
  <c r="C4" i="23" s="1"/>
  <c r="D6" i="3"/>
  <c r="D7" i="3"/>
  <c r="D8" i="3"/>
  <c r="D9" i="3"/>
  <c r="D10" i="3"/>
  <c r="D11" i="3"/>
  <c r="D12" i="3"/>
  <c r="D13" i="3"/>
  <c r="D14" i="3"/>
  <c r="D5" i="3"/>
  <c r="C5" i="23" l="1"/>
  <c r="C5" i="3"/>
  <c r="H6" i="2" l="1"/>
  <c r="E5" i="3" s="1"/>
  <c r="G5" i="3" s="1"/>
  <c r="G7" i="2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F7" i="2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C8" i="2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D7" i="2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H5" i="3" l="1"/>
  <c r="J5" i="3" s="1"/>
  <c r="E5" i="5" s="1"/>
  <c r="E4" i="5"/>
  <c r="E14" i="5" s="1"/>
  <c r="E4" i="4"/>
  <c r="E13" i="4" s="1"/>
  <c r="E17" i="4" s="1"/>
  <c r="D4" i="22" s="1"/>
  <c r="D5" i="22" s="1"/>
  <c r="H19" i="2"/>
  <c r="I19" i="2" s="1"/>
  <c r="E19" i="2"/>
  <c r="J19" i="2"/>
  <c r="E18" i="2"/>
  <c r="E16" i="2"/>
  <c r="E14" i="2"/>
  <c r="C13" i="3" s="1"/>
  <c r="E12" i="2"/>
  <c r="C11" i="3" s="1"/>
  <c r="E10" i="2"/>
  <c r="C9" i="3" s="1"/>
  <c r="E8" i="2"/>
  <c r="C7" i="3" s="1"/>
  <c r="E17" i="2"/>
  <c r="E15" i="2"/>
  <c r="C14" i="3" s="1"/>
  <c r="E13" i="2"/>
  <c r="C12" i="3" s="1"/>
  <c r="E11" i="2"/>
  <c r="C10" i="3" s="1"/>
  <c r="E9" i="2"/>
  <c r="C8" i="3" s="1"/>
  <c r="E7" i="2"/>
  <c r="C6" i="3" s="1"/>
  <c r="K6" i="2"/>
  <c r="I6" i="2"/>
  <c r="J6" i="2"/>
  <c r="H8" i="2"/>
  <c r="E7" i="3" s="1"/>
  <c r="H10" i="2"/>
  <c r="E9" i="3" s="1"/>
  <c r="H12" i="2"/>
  <c r="E11" i="3" s="1"/>
  <c r="H14" i="2"/>
  <c r="E13" i="3" s="1"/>
  <c r="H16" i="2"/>
  <c r="H18" i="2"/>
  <c r="H7" i="2"/>
  <c r="E6" i="3" s="1"/>
  <c r="H9" i="2"/>
  <c r="E8" i="3" s="1"/>
  <c r="H11" i="2"/>
  <c r="E10" i="3" s="1"/>
  <c r="H13" i="2"/>
  <c r="E12" i="3" s="1"/>
  <c r="H15" i="2"/>
  <c r="E14" i="3" s="1"/>
  <c r="H17" i="2"/>
  <c r="E18" i="5" l="1"/>
  <c r="D4" i="23" s="1"/>
  <c r="K5" i="3"/>
  <c r="G14" i="3"/>
  <c r="H14" i="3"/>
  <c r="J14" i="3" s="1"/>
  <c r="N5" i="5" s="1"/>
  <c r="K19" i="2"/>
  <c r="G10" i="3"/>
  <c r="H10" i="3"/>
  <c r="J10" i="3" s="1"/>
  <c r="J5" i="5" s="1"/>
  <c r="G12" i="3"/>
  <c r="H12" i="3"/>
  <c r="J12" i="3" s="1"/>
  <c r="L5" i="5" s="1"/>
  <c r="G7" i="3"/>
  <c r="H7" i="3"/>
  <c r="J7" i="3" s="1"/>
  <c r="G5" i="5" s="1"/>
  <c r="G9" i="3"/>
  <c r="H9" i="3"/>
  <c r="J9" i="3" s="1"/>
  <c r="I5" i="5" s="1"/>
  <c r="G6" i="3"/>
  <c r="H6" i="3"/>
  <c r="J6" i="3" s="1"/>
  <c r="F5" i="5" s="1"/>
  <c r="G11" i="3"/>
  <c r="H11" i="3"/>
  <c r="J11" i="3" s="1"/>
  <c r="K5" i="5" s="1"/>
  <c r="G8" i="3"/>
  <c r="H8" i="3"/>
  <c r="J8" i="3" s="1"/>
  <c r="H5" i="5" s="1"/>
  <c r="G13" i="3"/>
  <c r="H13" i="3"/>
  <c r="J13" i="3" s="1"/>
  <c r="M5" i="5" s="1"/>
  <c r="J17" i="2"/>
  <c r="I17" i="2"/>
  <c r="K17" i="2"/>
  <c r="J13" i="2"/>
  <c r="I13" i="2"/>
  <c r="K13" i="2"/>
  <c r="J9" i="2"/>
  <c r="I9" i="2"/>
  <c r="K9" i="2"/>
  <c r="I18" i="2"/>
  <c r="K18" i="2"/>
  <c r="J18" i="2"/>
  <c r="I14" i="2"/>
  <c r="K14" i="2"/>
  <c r="J14" i="2"/>
  <c r="I10" i="2"/>
  <c r="K10" i="2"/>
  <c r="J10" i="2"/>
  <c r="J15" i="2"/>
  <c r="I15" i="2"/>
  <c r="K15" i="2"/>
  <c r="J11" i="2"/>
  <c r="I11" i="2"/>
  <c r="K11" i="2"/>
  <c r="J7" i="2"/>
  <c r="I7" i="2"/>
  <c r="K7" i="2"/>
  <c r="I16" i="2"/>
  <c r="K16" i="2"/>
  <c r="J16" i="2"/>
  <c r="I12" i="2"/>
  <c r="K12" i="2"/>
  <c r="J12" i="2"/>
  <c r="I8" i="2"/>
  <c r="K8" i="2"/>
  <c r="J8" i="2"/>
  <c r="D5" i="23" l="1"/>
  <c r="F4" i="5"/>
  <c r="F4" i="4"/>
  <c r="F13" i="4" s="1"/>
  <c r="F17" i="4" s="1"/>
  <c r="E4" i="22" s="1"/>
  <c r="E5" i="22" s="1"/>
  <c r="K6" i="3"/>
  <c r="J4" i="5"/>
  <c r="J14" i="5" s="1"/>
  <c r="J18" i="5" s="1"/>
  <c r="I4" i="23" s="1"/>
  <c r="I5" i="23" s="1"/>
  <c r="J4" i="4"/>
  <c r="J13" i="4" s="1"/>
  <c r="J17" i="4" s="1"/>
  <c r="I4" i="22" s="1"/>
  <c r="I5" i="22" s="1"/>
  <c r="K10" i="3"/>
  <c r="I4" i="4"/>
  <c r="I13" i="4" s="1"/>
  <c r="I17" i="4" s="1"/>
  <c r="H4" i="22" s="1"/>
  <c r="H5" i="22" s="1"/>
  <c r="I4" i="5"/>
  <c r="I14" i="5" s="1"/>
  <c r="I18" i="5" s="1"/>
  <c r="H4" i="23" s="1"/>
  <c r="H5" i="23" s="1"/>
  <c r="K9" i="3"/>
  <c r="N4" i="5"/>
  <c r="N14" i="5" s="1"/>
  <c r="N18" i="5" s="1"/>
  <c r="M4" i="23" s="1"/>
  <c r="M5" i="23" s="1"/>
  <c r="N4" i="4"/>
  <c r="N13" i="4" s="1"/>
  <c r="N17" i="4" s="1"/>
  <c r="M4" i="22" s="1"/>
  <c r="M5" i="22" s="1"/>
  <c r="K14" i="3"/>
  <c r="M4" i="4"/>
  <c r="M13" i="4" s="1"/>
  <c r="M17" i="4" s="1"/>
  <c r="L4" i="22" s="1"/>
  <c r="L5" i="22" s="1"/>
  <c r="M4" i="5"/>
  <c r="M14" i="5" s="1"/>
  <c r="M18" i="5" s="1"/>
  <c r="L4" i="23" s="1"/>
  <c r="L5" i="23" s="1"/>
  <c r="K13" i="3"/>
  <c r="H4" i="4"/>
  <c r="H13" i="4" s="1"/>
  <c r="H17" i="4" s="1"/>
  <c r="G4" i="22" s="1"/>
  <c r="G5" i="22" s="1"/>
  <c r="H4" i="5"/>
  <c r="K8" i="3"/>
  <c r="G4" i="5"/>
  <c r="G14" i="5" s="1"/>
  <c r="G4" i="4"/>
  <c r="G13" i="4" s="1"/>
  <c r="G17" i="4" s="1"/>
  <c r="F4" i="22" s="1"/>
  <c r="F5" i="22" s="1"/>
  <c r="K7" i="3"/>
  <c r="K4" i="4"/>
  <c r="K13" i="4" s="1"/>
  <c r="K17" i="4" s="1"/>
  <c r="J4" i="22" s="1"/>
  <c r="J5" i="22" s="1"/>
  <c r="K4" i="5"/>
  <c r="K14" i="5" s="1"/>
  <c r="K18" i="5" s="1"/>
  <c r="J4" i="23" s="1"/>
  <c r="J5" i="23" s="1"/>
  <c r="K11" i="3"/>
  <c r="L4" i="5"/>
  <c r="L14" i="5" s="1"/>
  <c r="L18" i="5" s="1"/>
  <c r="K4" i="23" s="1"/>
  <c r="K5" i="23" s="1"/>
  <c r="L4" i="4"/>
  <c r="L13" i="4" s="1"/>
  <c r="L17" i="4" s="1"/>
  <c r="K4" i="22" s="1"/>
  <c r="K5" i="22" s="1"/>
  <c r="K12" i="3"/>
  <c r="C6" i="22" l="1"/>
  <c r="C7" i="22"/>
  <c r="G18" i="5"/>
  <c r="F4" i="23" s="1"/>
  <c r="F5" i="23" s="1"/>
  <c r="H14" i="5"/>
  <c r="H18" i="5" s="1"/>
  <c r="G4" i="23" s="1"/>
  <c r="G5" i="23" s="1"/>
  <c r="F14" i="5"/>
  <c r="F18" i="5" s="1"/>
  <c r="E4" i="23" s="1"/>
  <c r="E5" i="23" l="1"/>
  <c r="C6" i="23" l="1"/>
  <c r="C7" i="23"/>
</calcChain>
</file>

<file path=xl/sharedStrings.xml><?xml version="1.0" encoding="utf-8"?>
<sst xmlns="http://schemas.openxmlformats.org/spreadsheetml/2006/main" count="78" uniqueCount="58">
  <si>
    <t>AÑO</t>
  </si>
  <si>
    <t>PLASTICO</t>
  </si>
  <si>
    <t>VIDRIO</t>
  </si>
  <si>
    <t>PAPEL Y CARTON</t>
  </si>
  <si>
    <t>INGRESOS</t>
  </si>
  <si>
    <t>PRECIO</t>
  </si>
  <si>
    <t>BENEFICIO (AHORRO DISPOSICIÓN FINAL)</t>
  </si>
  <si>
    <t>Flujo Neto de Caja</t>
  </si>
  <si>
    <t xml:space="preserve"> - Costos de Preinversión</t>
  </si>
  <si>
    <t xml:space="preserve"> - Costos de Inversión </t>
  </si>
  <si>
    <t xml:space="preserve"> - Costos de Operación y Mantenimiento </t>
  </si>
  <si>
    <t xml:space="preserve"> - Amortización de Créditos</t>
  </si>
  <si>
    <t xml:space="preserve"> - Intereses de créditos</t>
  </si>
  <si>
    <t xml:space="preserve"> - Valor de salvamento</t>
  </si>
  <si>
    <t xml:space="preserve"> + Ingresos </t>
  </si>
  <si>
    <t xml:space="preserve"> + Beneficios</t>
  </si>
  <si>
    <t xml:space="preserve"> + Créditos</t>
  </si>
  <si>
    <t xml:space="preserve"> 2.1 Estación</t>
  </si>
  <si>
    <t xml:space="preserve"> 2.2 Servicios de valorización</t>
  </si>
  <si>
    <t>RPC</t>
  </si>
  <si>
    <t>Flujo Neto Financiero</t>
  </si>
  <si>
    <t>Flujo Neto Financiero Descontado</t>
  </si>
  <si>
    <t>Valor Presente Neto</t>
  </si>
  <si>
    <t>TIR</t>
  </si>
  <si>
    <t>Flujo Neto Económico Descontado</t>
  </si>
  <si>
    <t>Parte 1. Orgánicos</t>
  </si>
  <si>
    <t>Parte 2. Inorgánicos</t>
  </si>
  <si>
    <t>OFERTA ORGÁNICOS (Kg)</t>
  </si>
  <si>
    <t>DEMANDA ORGÁNICOS (Kg)</t>
  </si>
  <si>
    <t>DEFICIT ORGÁNICOS (Kg)</t>
  </si>
  <si>
    <t>OFERTA INORGÁNICOS (Kg)</t>
  </si>
  <si>
    <t>DEMANDA INORGÁNICOS (Kg)</t>
  </si>
  <si>
    <t>DEFICIT INORGÁNICOS (Kg)</t>
  </si>
  <si>
    <t>DEFICIT POR TIPO DE MATERIAL INORGÁNICOS (Kg)</t>
  </si>
  <si>
    <t>Periodo</t>
  </si>
  <si>
    <t>CANT.
(Ton. Orgánicos)</t>
  </si>
  <si>
    <t>CANT.
(Ton. Inorgánicos)</t>
  </si>
  <si>
    <t>TOTAL (ORGÁNICOS / INORGÁNICOS)</t>
  </si>
  <si>
    <t>CANTIDAD (TONELADAS VALORIZABLES VENDIDAS)</t>
  </si>
  <si>
    <t xml:space="preserve">PRECIO ($ AHORRO POR TON.) </t>
  </si>
  <si>
    <t>VALOR
AHORRO</t>
  </si>
  <si>
    <t>TOTAL DEL PERÍODO</t>
  </si>
  <si>
    <t>1.1 Estudios</t>
  </si>
  <si>
    <t xml:space="preserve"> 1.2 Campañas</t>
  </si>
  <si>
    <t xml:space="preserve"> 1.3 Rutas</t>
  </si>
  <si>
    <t>Valor Presente Neto Económico</t>
  </si>
  <si>
    <t>TIRE</t>
  </si>
  <si>
    <t xml:space="preserve">Valor Presente Neto </t>
  </si>
  <si>
    <t xml:space="preserve">Flujo Neto Financiero </t>
  </si>
  <si>
    <t xml:space="preserve">Flujo Neto Económico </t>
  </si>
  <si>
    <t>Aplicando la fórmula completa en Excel:</t>
  </si>
  <si>
    <t xml:space="preserve">ANÁLISIS DE DEMANDA </t>
  </si>
  <si>
    <t xml:space="preserve">ANÁLISIS DE INGRESOS Y BENEFICIOS  </t>
  </si>
  <si>
    <t xml:space="preserve">FLUJO DE CAJA FINANCIERO </t>
  </si>
  <si>
    <t>Concepto\periodos</t>
  </si>
  <si>
    <t>FLUJO DE CAJA ECONÓMICO</t>
  </si>
  <si>
    <t xml:space="preserve">INDICADORES FINANCIEROS </t>
  </si>
  <si>
    <t>INDICADORES ECONÍMICOS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</si>
</sst>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&quot;$&quot;\ * #,##0_-;\-&quot;$&quot;\ * #,##0_-;_-&quot;$&quot;\ * &quot;-&quot;_-;_-@_-"/>
    <numFmt numFmtId="164" formatCode="_-&quot;$&quot;* #,##0.00_-;\-&quot;$&quot;* #,##0.00_-;_-&quot;$&quot;* &quot;-&quot;??_-;_-@_-"/>
    <numFmt numFmtId="165" formatCode="0.000%"/>
    <numFmt numFmtId="166" formatCode="_-&quot;$&quot;* #,##0.0_-;\-&quot;$&quot;* #,##0.0_-;_-&quot;$&quot;* &quot;-&quot;??_-;_-@_-"/>
    <numFmt numFmtId="167" formatCode="_-&quot;$&quot;* #,##0_-;\-&quot;$&quot;* #,##0_-;_-&quot;$&quot;* &quot;-&quot;??_-;_-@_-"/>
    <numFmt numFmtId="169" formatCode="_-&quot;$&quot;\ * #,##0.00_-;\-&quot;$&quot;\ * #,##0.00_-;_-&quot;$&quot;\ * &quot;-&quot;_-;_-@_-"/>
    <numFmt numFmtId="170" formatCode="_-&quot;$&quot;\ * #,##0.0_-;\-&quot;$&quot;\ * #,##0.0_-;_-&quot;$&quot;\ * &quot;-&quot;?_-;_-@_-"/>
  </numFmts>
  <fonts count="23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Arial Narrow"/>
      <family val="2"/>
    </font>
    <font>
      <b/>
      <sz val="7"/>
      <color theme="1"/>
      <name val="Arial Narrow"/>
      <family val="2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Arial Narrow"/>
      <family val="2"/>
    </font>
    <font>
      <sz val="12"/>
      <color theme="0"/>
      <name val="Calibri"/>
      <family val="2"/>
      <scheme val="minor"/>
    </font>
    <font>
      <b/>
      <sz val="11"/>
      <color theme="0"/>
      <name val="Arial Narrow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b/>
      <sz val="18"/>
      <color theme="0"/>
      <name val="Arial"/>
      <family val="2"/>
    </font>
    <font>
      <b/>
      <sz val="10"/>
      <color rgb="FF004A84"/>
      <name val="Arial"/>
      <family val="2"/>
    </font>
    <font>
      <sz val="12"/>
      <color rgb="FFFF0000"/>
      <name val="Arial Narrow"/>
      <family val="2"/>
    </font>
    <font>
      <sz val="11"/>
      <color rgb="FFFF0000"/>
      <name val="Arial Narrow"/>
      <family val="2"/>
    </font>
    <font>
      <sz val="10"/>
      <name val="Arial Narrow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  <fill>
      <patternFill patternType="solid">
        <fgColor rgb="FF069169"/>
        <bgColor indexed="64"/>
      </patternFill>
    </fill>
    <fill>
      <patternFill patternType="solid">
        <fgColor theme="4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2" fontId="2" fillId="0" borderId="0" applyFont="0" applyFill="0" applyBorder="0" applyAlignment="0" applyProtection="0"/>
  </cellStyleXfs>
  <cellXfs count="115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justify" vertical="center"/>
    </xf>
    <xf numFmtId="3" fontId="5" fillId="0" borderId="0" xfId="1" applyNumberFormat="1" applyFont="1"/>
    <xf numFmtId="0" fontId="6" fillId="0" borderId="0" xfId="0" applyFont="1" applyAlignment="1">
      <alignment horizontal="center" vertical="center"/>
    </xf>
    <xf numFmtId="3" fontId="0" fillId="0" borderId="0" xfId="0" applyNumberFormat="1"/>
    <xf numFmtId="3" fontId="6" fillId="0" borderId="0" xfId="1" applyNumberFormat="1" applyFont="1"/>
    <xf numFmtId="9" fontId="6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0" fontId="9" fillId="0" borderId="0" xfId="0" applyFont="1"/>
    <xf numFmtId="167" fontId="8" fillId="0" borderId="1" xfId="1" applyNumberFormat="1" applyFont="1" applyBorder="1"/>
    <xf numFmtId="167" fontId="8" fillId="0" borderId="6" xfId="1" applyNumberFormat="1" applyFont="1" applyBorder="1"/>
    <xf numFmtId="3" fontId="7" fillId="0" borderId="10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center"/>
    </xf>
    <xf numFmtId="3" fontId="7" fillId="0" borderId="5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3" fontId="7" fillId="0" borderId="7" xfId="0" applyNumberFormat="1" applyFont="1" applyBorder="1" applyAlignment="1">
      <alignment horizontal="center"/>
    </xf>
    <xf numFmtId="3" fontId="7" fillId="0" borderId="8" xfId="0" applyNumberFormat="1" applyFont="1" applyBorder="1" applyAlignment="1">
      <alignment horizontal="center"/>
    </xf>
    <xf numFmtId="164" fontId="7" fillId="0" borderId="6" xfId="1" applyFont="1" applyBorder="1" applyAlignment="1">
      <alignment horizontal="center"/>
    </xf>
    <xf numFmtId="164" fontId="7" fillId="0" borderId="9" xfId="1" applyFont="1" applyBorder="1" applyAlignment="1">
      <alignment horizontal="center"/>
    </xf>
    <xf numFmtId="164" fontId="7" fillId="0" borderId="19" xfId="1" applyFont="1" applyBorder="1" applyAlignment="1">
      <alignment horizontal="center" wrapText="1"/>
    </xf>
    <xf numFmtId="3" fontId="7" fillId="0" borderId="2" xfId="0" applyNumberFormat="1" applyFont="1" applyBorder="1" applyAlignment="1">
      <alignment horizontal="center"/>
    </xf>
    <xf numFmtId="3" fontId="7" fillId="0" borderId="3" xfId="0" applyNumberFormat="1" applyFont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166" fontId="0" fillId="0" borderId="0" xfId="1" applyNumberFormat="1" applyFont="1"/>
    <xf numFmtId="0" fontId="10" fillId="0" borderId="0" xfId="0" applyFont="1" applyBorder="1" applyAlignment="1">
      <alignment horizontal="center"/>
    </xf>
    <xf numFmtId="0" fontId="9" fillId="0" borderId="0" xfId="0" applyFont="1" applyBorder="1"/>
    <xf numFmtId="9" fontId="9" fillId="0" borderId="0" xfId="2" applyFont="1" applyBorder="1" applyAlignment="1">
      <alignment horizontal="center"/>
    </xf>
    <xf numFmtId="0" fontId="0" fillId="0" borderId="0" xfId="0" applyFont="1"/>
    <xf numFmtId="167" fontId="0" fillId="0" borderId="1" xfId="1" applyNumberFormat="1" applyFont="1" applyBorder="1"/>
    <xf numFmtId="167" fontId="8" fillId="0" borderId="17" xfId="1" applyNumberFormat="1" applyFont="1" applyBorder="1"/>
    <xf numFmtId="3" fontId="0" fillId="0" borderId="0" xfId="0" applyNumberFormat="1" applyFont="1"/>
    <xf numFmtId="166" fontId="1" fillId="0" borderId="8" xfId="1" applyNumberFormat="1" applyFont="1" applyBorder="1"/>
    <xf numFmtId="166" fontId="1" fillId="0" borderId="9" xfId="1" applyNumberFormat="1" applyFont="1" applyBorder="1"/>
    <xf numFmtId="0" fontId="16" fillId="0" borderId="0" xfId="0" applyFont="1" applyAlignment="1">
      <alignment horizont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5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wrapText="1"/>
    </xf>
    <xf numFmtId="0" fontId="17" fillId="4" borderId="33" xfId="0" applyFont="1" applyFill="1" applyBorder="1" applyAlignment="1">
      <alignment horizontal="center" vertical="center"/>
    </xf>
    <xf numFmtId="0" fontId="17" fillId="4" borderId="30" xfId="0" applyFont="1" applyFill="1" applyBorder="1" applyAlignment="1">
      <alignment horizontal="center" vertical="center"/>
    </xf>
    <xf numFmtId="0" fontId="17" fillId="4" borderId="34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26" xfId="0" applyFont="1" applyFill="1" applyBorder="1" applyAlignment="1">
      <alignment horizontal="center" vertical="center"/>
    </xf>
    <xf numFmtId="0" fontId="17" fillId="4" borderId="27" xfId="0" applyFont="1" applyFill="1" applyBorder="1" applyAlignment="1">
      <alignment horizontal="center" vertical="center"/>
    </xf>
    <xf numFmtId="0" fontId="17" fillId="4" borderId="28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164" fontId="7" fillId="0" borderId="20" xfId="1" applyFont="1" applyBorder="1" applyAlignment="1">
      <alignment horizontal="center"/>
    </xf>
    <xf numFmtId="164" fontId="7" fillId="0" borderId="21" xfId="1" applyFont="1" applyBorder="1" applyAlignment="1">
      <alignment horizontal="center"/>
    </xf>
    <xf numFmtId="164" fontId="7" fillId="0" borderId="4" xfId="1" applyFont="1" applyBorder="1" applyAlignment="1">
      <alignment horizontal="center"/>
    </xf>
    <xf numFmtId="3" fontId="7" fillId="0" borderId="37" xfId="0" applyNumberFormat="1" applyFont="1" applyBorder="1" applyAlignment="1">
      <alignment horizontal="center"/>
    </xf>
    <xf numFmtId="3" fontId="7" fillId="0" borderId="36" xfId="0" applyNumberFormat="1" applyFont="1" applyBorder="1" applyAlignment="1">
      <alignment horizontal="center"/>
    </xf>
    <xf numFmtId="3" fontId="7" fillId="0" borderId="38" xfId="0" applyNumberFormat="1" applyFont="1" applyBorder="1" applyAlignment="1">
      <alignment horizontal="center"/>
    </xf>
    <xf numFmtId="0" fontId="18" fillId="3" borderId="39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25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3" fontId="19" fillId="0" borderId="11" xfId="0" applyNumberFormat="1" applyFont="1" applyBorder="1" applyAlignment="1">
      <alignment horizontal="center"/>
    </xf>
    <xf numFmtId="3" fontId="19" fillId="0" borderId="1" xfId="0" applyNumberFormat="1" applyFont="1" applyBorder="1" applyAlignment="1">
      <alignment horizontal="center"/>
    </xf>
    <xf numFmtId="3" fontId="19" fillId="0" borderId="8" xfId="0" applyNumberFormat="1" applyFont="1" applyBorder="1" applyAlignment="1">
      <alignment horizontal="center"/>
    </xf>
    <xf numFmtId="3" fontId="19" fillId="0" borderId="12" xfId="0" applyNumberFormat="1" applyFont="1" applyBorder="1" applyAlignment="1">
      <alignment horizontal="center"/>
    </xf>
    <xf numFmtId="3" fontId="19" fillId="0" borderId="6" xfId="0" applyNumberFormat="1" applyFont="1" applyBorder="1" applyAlignment="1">
      <alignment horizontal="center"/>
    </xf>
    <xf numFmtId="3" fontId="19" fillId="0" borderId="9" xfId="0" applyNumberFormat="1" applyFont="1" applyBorder="1" applyAlignment="1">
      <alignment horizontal="center"/>
    </xf>
    <xf numFmtId="167" fontId="20" fillId="0" borderId="17" xfId="1" applyNumberFormat="1" applyFont="1" applyBorder="1"/>
    <xf numFmtId="167" fontId="20" fillId="0" borderId="1" xfId="1" applyNumberFormat="1" applyFont="1" applyBorder="1"/>
    <xf numFmtId="167" fontId="8" fillId="0" borderId="11" xfId="1" applyNumberFormat="1" applyFont="1" applyBorder="1"/>
    <xf numFmtId="167" fontId="8" fillId="0" borderId="12" xfId="1" applyNumberFormat="1" applyFont="1" applyBorder="1"/>
    <xf numFmtId="167" fontId="8" fillId="0" borderId="23" xfId="1" applyNumberFormat="1" applyFont="1" applyBorder="1"/>
    <xf numFmtId="167" fontId="15" fillId="5" borderId="18" xfId="0" applyNumberFormat="1" applyFont="1" applyFill="1" applyBorder="1" applyAlignment="1">
      <alignment horizontal="center" wrapText="1"/>
    </xf>
    <xf numFmtId="0" fontId="15" fillId="5" borderId="8" xfId="0" applyFont="1" applyFill="1" applyBorder="1" applyAlignment="1">
      <alignment horizontal="center" wrapText="1"/>
    </xf>
    <xf numFmtId="0" fontId="15" fillId="5" borderId="9" xfId="0" applyFont="1" applyFill="1" applyBorder="1" applyAlignment="1">
      <alignment horizontal="center" wrapText="1"/>
    </xf>
    <xf numFmtId="0" fontId="15" fillId="5" borderId="24" xfId="0" applyFont="1" applyFill="1" applyBorder="1" applyAlignment="1">
      <alignment horizontal="center" wrapText="1"/>
    </xf>
    <xf numFmtId="0" fontId="15" fillId="5" borderId="20" xfId="0" applyFont="1" applyFill="1" applyBorder="1" applyAlignment="1">
      <alignment horizontal="center" wrapText="1"/>
    </xf>
    <xf numFmtId="0" fontId="15" fillId="5" borderId="21" xfId="0" applyFont="1" applyFill="1" applyBorder="1" applyAlignment="1">
      <alignment horizontal="center" wrapText="1"/>
    </xf>
    <xf numFmtId="0" fontId="15" fillId="5" borderId="15" xfId="0" applyFont="1" applyFill="1" applyBorder="1" applyAlignment="1">
      <alignment horizontal="center" wrapText="1"/>
    </xf>
    <xf numFmtId="0" fontId="15" fillId="5" borderId="13" xfId="0" applyFont="1" applyFill="1" applyBorder="1" applyAlignment="1">
      <alignment horizontal="center" wrapText="1"/>
    </xf>
    <xf numFmtId="0" fontId="15" fillId="5" borderId="14" xfId="0" applyFont="1" applyFill="1" applyBorder="1" applyAlignment="1">
      <alignment horizontal="center" wrapText="1"/>
    </xf>
    <xf numFmtId="0" fontId="15" fillId="5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Font="1" applyBorder="1"/>
    <xf numFmtId="0" fontId="13" fillId="5" borderId="1" xfId="0" applyFont="1" applyFill="1" applyBorder="1" applyAlignment="1">
      <alignment horizontal="center" vertical="center"/>
    </xf>
    <xf numFmtId="167" fontId="13" fillId="5" borderId="1" xfId="1" applyNumberFormat="1" applyFont="1" applyFill="1" applyBorder="1"/>
    <xf numFmtId="169" fontId="21" fillId="0" borderId="8" xfId="3" applyNumberFormat="1" applyFont="1" applyBorder="1"/>
    <xf numFmtId="169" fontId="21" fillId="0" borderId="9" xfId="3" applyNumberFormat="1" applyFont="1" applyBorder="1"/>
    <xf numFmtId="169" fontId="21" fillId="0" borderId="1" xfId="3" applyNumberFormat="1" applyFont="1" applyBorder="1"/>
    <xf numFmtId="0" fontId="17" fillId="4" borderId="22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17" fillId="4" borderId="14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wrapText="1"/>
    </xf>
    <xf numFmtId="0" fontId="15" fillId="5" borderId="3" xfId="0" applyFont="1" applyFill="1" applyBorder="1" applyAlignment="1">
      <alignment horizontal="center" wrapText="1"/>
    </xf>
    <xf numFmtId="0" fontId="15" fillId="5" borderId="4" xfId="0" applyFont="1" applyFill="1" applyBorder="1" applyAlignment="1">
      <alignment horizontal="center" wrapText="1"/>
    </xf>
    <xf numFmtId="169" fontId="21" fillId="0" borderId="5" xfId="3" applyNumberFormat="1" applyFont="1" applyBorder="1"/>
    <xf numFmtId="169" fontId="21" fillId="0" borderId="6" xfId="3" applyNumberFormat="1" applyFont="1" applyBorder="1"/>
    <xf numFmtId="169" fontId="21" fillId="0" borderId="7" xfId="3" applyNumberFormat="1" applyFont="1" applyBorder="1"/>
    <xf numFmtId="42" fontId="15" fillId="5" borderId="16" xfId="3" applyFont="1" applyFill="1" applyBorder="1" applyAlignment="1">
      <alignment horizontal="center" wrapText="1"/>
    </xf>
    <xf numFmtId="9" fontId="15" fillId="5" borderId="16" xfId="0" applyNumberFormat="1" applyFont="1" applyFill="1" applyBorder="1" applyAlignment="1">
      <alignment horizontal="center" wrapText="1"/>
    </xf>
    <xf numFmtId="166" fontId="1" fillId="0" borderId="1" xfId="1" applyNumberFormat="1" applyFont="1" applyBorder="1"/>
    <xf numFmtId="0" fontId="15" fillId="5" borderId="5" xfId="0" applyFont="1" applyFill="1" applyBorder="1" applyAlignment="1">
      <alignment horizontal="center" wrapText="1"/>
    </xf>
    <xf numFmtId="0" fontId="15" fillId="5" borderId="6" xfId="0" applyFont="1" applyFill="1" applyBorder="1" applyAlignment="1">
      <alignment horizontal="center" wrapText="1"/>
    </xf>
    <xf numFmtId="166" fontId="1" fillId="0" borderId="6" xfId="1" applyNumberFormat="1" applyFont="1" applyBorder="1"/>
    <xf numFmtId="0" fontId="15" fillId="5" borderId="7" xfId="0" applyFont="1" applyFill="1" applyBorder="1" applyAlignment="1">
      <alignment horizontal="center" wrapText="1"/>
    </xf>
    <xf numFmtId="0" fontId="15" fillId="5" borderId="16" xfId="0" applyFont="1" applyFill="1" applyBorder="1" applyAlignment="1">
      <alignment horizontal="center" wrapText="1"/>
    </xf>
    <xf numFmtId="170" fontId="22" fillId="5" borderId="16" xfId="0" applyNumberFormat="1" applyFont="1" applyFill="1" applyBorder="1" applyAlignment="1">
      <alignment horizontal="center" wrapText="1"/>
    </xf>
  </cellXfs>
  <cellStyles count="4">
    <cellStyle name="Moneda" xfId="1" builtinId="4"/>
    <cellStyle name="Moneda [0]" xfId="3" builtinId="7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69169"/>
      <color rgb="FF004A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21"/>
  <sheetViews>
    <sheetView workbookViewId="0">
      <selection activeCell="A23" sqref="A23"/>
    </sheetView>
  </sheetViews>
  <sheetFormatPr baseColWidth="10" defaultRowHeight="15.75" x14ac:dyDescent="0.25"/>
  <cols>
    <col min="1" max="1" width="3.42578125" style="10" customWidth="1"/>
    <col min="2" max="2" width="7.7109375" style="10" customWidth="1"/>
    <col min="3" max="11" width="18" style="10" customWidth="1"/>
    <col min="12" max="16384" width="11.42578125" style="10"/>
  </cols>
  <sheetData>
    <row r="1" spans="2:11" ht="16.5" thickBot="1" x14ac:dyDescent="0.3"/>
    <row r="2" spans="2:11" ht="23.25" x14ac:dyDescent="0.25">
      <c r="B2" s="41" t="s">
        <v>51</v>
      </c>
      <c r="C2" s="42"/>
      <c r="D2" s="42"/>
      <c r="E2" s="42"/>
      <c r="F2" s="42"/>
      <c r="G2" s="42"/>
      <c r="H2" s="42"/>
      <c r="I2" s="42"/>
      <c r="J2" s="42"/>
      <c r="K2" s="43"/>
    </row>
    <row r="3" spans="2:11" ht="16.5" thickBot="1" x14ac:dyDescent="0.3">
      <c r="B3" s="62" t="s">
        <v>0</v>
      </c>
      <c r="C3" s="36" t="s">
        <v>25</v>
      </c>
      <c r="D3" s="37"/>
      <c r="E3" s="38"/>
      <c r="F3" s="36" t="s">
        <v>26</v>
      </c>
      <c r="G3" s="37"/>
      <c r="H3" s="37"/>
      <c r="I3" s="37"/>
      <c r="J3" s="37"/>
      <c r="K3" s="39"/>
    </row>
    <row r="4" spans="2:11" s="35" customFormat="1" ht="19.5" customHeight="1" x14ac:dyDescent="0.2">
      <c r="B4" s="62"/>
      <c r="C4" s="63" t="s">
        <v>27</v>
      </c>
      <c r="D4" s="63" t="s">
        <v>28</v>
      </c>
      <c r="E4" s="63" t="s">
        <v>29</v>
      </c>
      <c r="F4" s="63" t="s">
        <v>30</v>
      </c>
      <c r="G4" s="63" t="s">
        <v>31</v>
      </c>
      <c r="H4" s="63" t="s">
        <v>32</v>
      </c>
      <c r="I4" s="63" t="s">
        <v>33</v>
      </c>
      <c r="J4" s="63"/>
      <c r="K4" s="64"/>
    </row>
    <row r="5" spans="2:11" s="35" customFormat="1" ht="19.5" customHeight="1" thickBot="1" x14ac:dyDescent="0.25">
      <c r="B5" s="65"/>
      <c r="C5" s="66"/>
      <c r="D5" s="66"/>
      <c r="E5" s="66"/>
      <c r="F5" s="66"/>
      <c r="G5" s="66"/>
      <c r="H5" s="66"/>
      <c r="I5" s="67" t="s">
        <v>1</v>
      </c>
      <c r="J5" s="67" t="s">
        <v>3</v>
      </c>
      <c r="K5" s="68" t="s">
        <v>2</v>
      </c>
    </row>
    <row r="6" spans="2:11" x14ac:dyDescent="0.25">
      <c r="B6" s="13">
        <v>2012</v>
      </c>
      <c r="C6" s="14">
        <f>27200000</f>
        <v>27200000</v>
      </c>
      <c r="D6" s="14">
        <v>35000000</v>
      </c>
      <c r="E6" s="69">
        <f>C6-D6</f>
        <v>-7800000</v>
      </c>
      <c r="F6" s="14">
        <v>10500000</v>
      </c>
      <c r="G6" s="14">
        <v>13000000</v>
      </c>
      <c r="H6" s="69">
        <f>F6-G6</f>
        <v>-2500000</v>
      </c>
      <c r="I6" s="69">
        <f>H6*0.2</f>
        <v>-500000</v>
      </c>
      <c r="J6" s="69">
        <f>H6*0.35</f>
        <v>-875000</v>
      </c>
      <c r="K6" s="72">
        <f>H6*0.45</f>
        <v>-1125000</v>
      </c>
    </row>
    <row r="7" spans="2:11" x14ac:dyDescent="0.25">
      <c r="B7" s="15">
        <v>2013</v>
      </c>
      <c r="C7" s="16">
        <f>C6*1.03</f>
        <v>28016000</v>
      </c>
      <c r="D7" s="16">
        <f>D6*1.04</f>
        <v>36400000</v>
      </c>
      <c r="E7" s="70">
        <f t="shared" ref="E7:H19" si="0">C7-D7</f>
        <v>-8384000</v>
      </c>
      <c r="F7" s="16">
        <f>F6*1.01</f>
        <v>10605000</v>
      </c>
      <c r="G7" s="16">
        <f>G6*1.04</f>
        <v>13520000</v>
      </c>
      <c r="H7" s="70">
        <f t="shared" si="0"/>
        <v>-2915000</v>
      </c>
      <c r="I7" s="70">
        <f t="shared" ref="I7:I19" si="1">H7*0.2</f>
        <v>-583000</v>
      </c>
      <c r="J7" s="70">
        <f t="shared" ref="J7:J19" si="2">H7*0.35</f>
        <v>-1020249.9999999999</v>
      </c>
      <c r="K7" s="73">
        <f t="shared" ref="K7:K19" si="3">H7*0.45</f>
        <v>-1311750</v>
      </c>
    </row>
    <row r="8" spans="2:11" x14ac:dyDescent="0.25">
      <c r="B8" s="15">
        <v>2014</v>
      </c>
      <c r="C8" s="16">
        <f t="shared" ref="C8:C19" si="4">C7*1.03</f>
        <v>28856480</v>
      </c>
      <c r="D8" s="16">
        <f t="shared" ref="D8:D19" si="5">D7*1.04</f>
        <v>37856000</v>
      </c>
      <c r="E8" s="70">
        <f t="shared" si="0"/>
        <v>-8999520</v>
      </c>
      <c r="F8" s="16">
        <f t="shared" ref="F8:F19" si="6">F7*1.01</f>
        <v>10711050</v>
      </c>
      <c r="G8" s="16">
        <f t="shared" ref="G8:G19" si="7">G7*1.04</f>
        <v>14060800</v>
      </c>
      <c r="H8" s="70">
        <f t="shared" si="0"/>
        <v>-3349750</v>
      </c>
      <c r="I8" s="70">
        <f t="shared" si="1"/>
        <v>-669950</v>
      </c>
      <c r="J8" s="70">
        <f t="shared" si="2"/>
        <v>-1172412.5</v>
      </c>
      <c r="K8" s="73">
        <f t="shared" si="3"/>
        <v>-1507387.5</v>
      </c>
    </row>
    <row r="9" spans="2:11" x14ac:dyDescent="0.25">
      <c r="B9" s="15">
        <v>2015</v>
      </c>
      <c r="C9" s="16">
        <f t="shared" si="4"/>
        <v>29722174.400000002</v>
      </c>
      <c r="D9" s="16">
        <f t="shared" si="5"/>
        <v>39370240</v>
      </c>
      <c r="E9" s="70">
        <f t="shared" si="0"/>
        <v>-9648065.5999999978</v>
      </c>
      <c r="F9" s="16">
        <f t="shared" si="6"/>
        <v>10818160.5</v>
      </c>
      <c r="G9" s="16">
        <f t="shared" si="7"/>
        <v>14623232</v>
      </c>
      <c r="H9" s="70">
        <f t="shared" si="0"/>
        <v>-3805071.5</v>
      </c>
      <c r="I9" s="70">
        <f t="shared" si="1"/>
        <v>-761014.3</v>
      </c>
      <c r="J9" s="70">
        <f t="shared" si="2"/>
        <v>-1331775.0249999999</v>
      </c>
      <c r="K9" s="73">
        <f t="shared" si="3"/>
        <v>-1712282.175</v>
      </c>
    </row>
    <row r="10" spans="2:11" x14ac:dyDescent="0.25">
      <c r="B10" s="15">
        <v>2016</v>
      </c>
      <c r="C10" s="16">
        <f t="shared" si="4"/>
        <v>30613839.632000003</v>
      </c>
      <c r="D10" s="16">
        <f t="shared" si="5"/>
        <v>40945049.600000001</v>
      </c>
      <c r="E10" s="70">
        <f t="shared" si="0"/>
        <v>-10331209.967999998</v>
      </c>
      <c r="F10" s="16">
        <f t="shared" si="6"/>
        <v>10926342.105</v>
      </c>
      <c r="G10" s="16">
        <f t="shared" si="7"/>
        <v>15208161.280000001</v>
      </c>
      <c r="H10" s="70">
        <f t="shared" si="0"/>
        <v>-4281819.1750000007</v>
      </c>
      <c r="I10" s="70">
        <f t="shared" si="1"/>
        <v>-856363.8350000002</v>
      </c>
      <c r="J10" s="70">
        <f t="shared" si="2"/>
        <v>-1498636.7112500002</v>
      </c>
      <c r="K10" s="73">
        <f t="shared" si="3"/>
        <v>-1926818.6287500004</v>
      </c>
    </row>
    <row r="11" spans="2:11" x14ac:dyDescent="0.25">
      <c r="B11" s="15">
        <v>2017</v>
      </c>
      <c r="C11" s="16">
        <f t="shared" si="4"/>
        <v>31532254.820960004</v>
      </c>
      <c r="D11" s="16">
        <f t="shared" si="5"/>
        <v>42582851.584000006</v>
      </c>
      <c r="E11" s="70">
        <f t="shared" si="0"/>
        <v>-11050596.763040002</v>
      </c>
      <c r="F11" s="16">
        <f t="shared" si="6"/>
        <v>11035605.526050001</v>
      </c>
      <c r="G11" s="16">
        <f t="shared" si="7"/>
        <v>15816487.731200002</v>
      </c>
      <c r="H11" s="70">
        <f t="shared" si="0"/>
        <v>-4780882.2051500008</v>
      </c>
      <c r="I11" s="70">
        <f t="shared" si="1"/>
        <v>-956176.44103000022</v>
      </c>
      <c r="J11" s="70">
        <f t="shared" si="2"/>
        <v>-1673308.7718025001</v>
      </c>
      <c r="K11" s="73">
        <f t="shared" si="3"/>
        <v>-2151396.9923175005</v>
      </c>
    </row>
    <row r="12" spans="2:11" x14ac:dyDescent="0.25">
      <c r="B12" s="15">
        <v>2018</v>
      </c>
      <c r="C12" s="16">
        <f t="shared" si="4"/>
        <v>32478222.465588804</v>
      </c>
      <c r="D12" s="16">
        <f t="shared" si="5"/>
        <v>44286165.647360004</v>
      </c>
      <c r="E12" s="70">
        <f t="shared" si="0"/>
        <v>-11807943.1817712</v>
      </c>
      <c r="F12" s="16">
        <f t="shared" si="6"/>
        <v>11145961.581310501</v>
      </c>
      <c r="G12" s="16">
        <f t="shared" si="7"/>
        <v>16449147.240448004</v>
      </c>
      <c r="H12" s="70">
        <f t="shared" si="0"/>
        <v>-5303185.6591375023</v>
      </c>
      <c r="I12" s="70">
        <f t="shared" si="1"/>
        <v>-1060637.1318275004</v>
      </c>
      <c r="J12" s="70">
        <f t="shared" si="2"/>
        <v>-1856114.9806981257</v>
      </c>
      <c r="K12" s="73">
        <f t="shared" si="3"/>
        <v>-2386433.5466118762</v>
      </c>
    </row>
    <row r="13" spans="2:11" x14ac:dyDescent="0.25">
      <c r="B13" s="15">
        <v>2019</v>
      </c>
      <c r="C13" s="16">
        <f t="shared" si="4"/>
        <v>33452569.139556468</v>
      </c>
      <c r="D13" s="16">
        <f t="shared" si="5"/>
        <v>46057612.273254409</v>
      </c>
      <c r="E13" s="70">
        <f t="shared" si="0"/>
        <v>-12605043.133697942</v>
      </c>
      <c r="F13" s="16">
        <f t="shared" si="6"/>
        <v>11257421.197123606</v>
      </c>
      <c r="G13" s="16">
        <f t="shared" si="7"/>
        <v>17107113.130065925</v>
      </c>
      <c r="H13" s="70">
        <f t="shared" si="0"/>
        <v>-5849691.9329423197</v>
      </c>
      <c r="I13" s="70">
        <f t="shared" si="1"/>
        <v>-1169938.386588464</v>
      </c>
      <c r="J13" s="70">
        <f t="shared" si="2"/>
        <v>-2047392.1765298117</v>
      </c>
      <c r="K13" s="73">
        <f t="shared" si="3"/>
        <v>-2632361.3698240439</v>
      </c>
    </row>
    <row r="14" spans="2:11" x14ac:dyDescent="0.25">
      <c r="B14" s="15">
        <v>2020</v>
      </c>
      <c r="C14" s="16">
        <f t="shared" si="4"/>
        <v>34456146.213743165</v>
      </c>
      <c r="D14" s="16">
        <f t="shared" si="5"/>
        <v>47899916.764184587</v>
      </c>
      <c r="E14" s="70">
        <f t="shared" si="0"/>
        <v>-13443770.550441422</v>
      </c>
      <c r="F14" s="16">
        <f t="shared" si="6"/>
        <v>11369995.409094842</v>
      </c>
      <c r="G14" s="16">
        <f t="shared" si="7"/>
        <v>17791397.655268565</v>
      </c>
      <c r="H14" s="70">
        <f t="shared" si="0"/>
        <v>-6421402.2461737227</v>
      </c>
      <c r="I14" s="70">
        <f t="shared" si="1"/>
        <v>-1284280.4492347445</v>
      </c>
      <c r="J14" s="70">
        <f t="shared" si="2"/>
        <v>-2247490.7861608029</v>
      </c>
      <c r="K14" s="73">
        <f t="shared" si="3"/>
        <v>-2889631.0107781752</v>
      </c>
    </row>
    <row r="15" spans="2:11" x14ac:dyDescent="0.25">
      <c r="B15" s="15">
        <v>2021</v>
      </c>
      <c r="C15" s="16">
        <f t="shared" si="4"/>
        <v>35489830.600155458</v>
      </c>
      <c r="D15" s="16">
        <f t="shared" si="5"/>
        <v>49815913.434751973</v>
      </c>
      <c r="E15" s="70">
        <f t="shared" si="0"/>
        <v>-14326082.834596515</v>
      </c>
      <c r="F15" s="16">
        <f t="shared" si="6"/>
        <v>11483695.363185791</v>
      </c>
      <c r="G15" s="16">
        <f t="shared" si="7"/>
        <v>18503053.561479308</v>
      </c>
      <c r="H15" s="70">
        <f t="shared" si="0"/>
        <v>-7019358.1982935164</v>
      </c>
      <c r="I15" s="70">
        <f t="shared" si="1"/>
        <v>-1403871.6396587035</v>
      </c>
      <c r="J15" s="70">
        <f t="shared" si="2"/>
        <v>-2456775.3694027304</v>
      </c>
      <c r="K15" s="73">
        <f t="shared" si="3"/>
        <v>-3158711.1892320826</v>
      </c>
    </row>
    <row r="16" spans="2:11" x14ac:dyDescent="0.25">
      <c r="B16" s="15">
        <v>2022</v>
      </c>
      <c r="C16" s="16">
        <f t="shared" si="4"/>
        <v>36554525.51816012</v>
      </c>
      <c r="D16" s="16">
        <f t="shared" si="5"/>
        <v>51808549.972142056</v>
      </c>
      <c r="E16" s="70">
        <f t="shared" si="0"/>
        <v>-15254024.453981936</v>
      </c>
      <c r="F16" s="16">
        <f t="shared" si="6"/>
        <v>11598532.316817649</v>
      </c>
      <c r="G16" s="16">
        <f t="shared" si="7"/>
        <v>19243175.70393848</v>
      </c>
      <c r="H16" s="70">
        <f t="shared" si="0"/>
        <v>-7644643.3871208318</v>
      </c>
      <c r="I16" s="70">
        <f t="shared" si="1"/>
        <v>-1528928.6774241664</v>
      </c>
      <c r="J16" s="70">
        <f t="shared" si="2"/>
        <v>-2675625.1854922911</v>
      </c>
      <c r="K16" s="73">
        <f t="shared" si="3"/>
        <v>-3440089.5242043743</v>
      </c>
    </row>
    <row r="17" spans="2:11" x14ac:dyDescent="0.25">
      <c r="B17" s="15">
        <v>2023</v>
      </c>
      <c r="C17" s="16">
        <f t="shared" si="4"/>
        <v>37651161.283704922</v>
      </c>
      <c r="D17" s="16">
        <f t="shared" si="5"/>
        <v>53880891.971027739</v>
      </c>
      <c r="E17" s="70">
        <f t="shared" si="0"/>
        <v>-16229730.687322818</v>
      </c>
      <c r="F17" s="16">
        <f t="shared" si="6"/>
        <v>11714517.639985826</v>
      </c>
      <c r="G17" s="16">
        <f t="shared" si="7"/>
        <v>20012902.73209602</v>
      </c>
      <c r="H17" s="70">
        <f t="shared" si="0"/>
        <v>-8298385.0921101943</v>
      </c>
      <c r="I17" s="70">
        <f t="shared" si="1"/>
        <v>-1659677.018422039</v>
      </c>
      <c r="J17" s="70">
        <f t="shared" si="2"/>
        <v>-2904434.7822385677</v>
      </c>
      <c r="K17" s="73">
        <f t="shared" si="3"/>
        <v>-3734273.2914495873</v>
      </c>
    </row>
    <row r="18" spans="2:11" x14ac:dyDescent="0.25">
      <c r="B18" s="15">
        <v>2024</v>
      </c>
      <c r="C18" s="16">
        <f t="shared" si="4"/>
        <v>38780696.122216068</v>
      </c>
      <c r="D18" s="16">
        <f t="shared" si="5"/>
        <v>56036127.649868853</v>
      </c>
      <c r="E18" s="70">
        <f t="shared" si="0"/>
        <v>-17255431.527652785</v>
      </c>
      <c r="F18" s="16">
        <f t="shared" si="6"/>
        <v>11831662.816385685</v>
      </c>
      <c r="G18" s="16">
        <f t="shared" si="7"/>
        <v>20813418.841379862</v>
      </c>
      <c r="H18" s="70">
        <f t="shared" si="0"/>
        <v>-8981756.0249941777</v>
      </c>
      <c r="I18" s="70">
        <f t="shared" si="1"/>
        <v>-1796351.2049988357</v>
      </c>
      <c r="J18" s="70">
        <f t="shared" si="2"/>
        <v>-3143614.6087479619</v>
      </c>
      <c r="K18" s="73">
        <f t="shared" si="3"/>
        <v>-4041790.2112473799</v>
      </c>
    </row>
    <row r="19" spans="2:11" ht="16.5" thickBot="1" x14ac:dyDescent="0.3">
      <c r="B19" s="17">
        <v>2025</v>
      </c>
      <c r="C19" s="18">
        <f t="shared" si="4"/>
        <v>39944117.005882554</v>
      </c>
      <c r="D19" s="18">
        <f t="shared" si="5"/>
        <v>58277572.755863607</v>
      </c>
      <c r="E19" s="71">
        <f t="shared" si="0"/>
        <v>-18333455.749981053</v>
      </c>
      <c r="F19" s="18">
        <f t="shared" si="6"/>
        <v>11949979.444549542</v>
      </c>
      <c r="G19" s="18">
        <f t="shared" si="7"/>
        <v>21645955.595035058</v>
      </c>
      <c r="H19" s="71">
        <f t="shared" si="0"/>
        <v>-9695976.1504855156</v>
      </c>
      <c r="I19" s="71">
        <f t="shared" si="1"/>
        <v>-1939195.2300971032</v>
      </c>
      <c r="J19" s="71">
        <f t="shared" si="2"/>
        <v>-3393591.6526699304</v>
      </c>
      <c r="K19" s="74">
        <f t="shared" si="3"/>
        <v>-4363189.2677184818</v>
      </c>
    </row>
    <row r="21" spans="2:11" x14ac:dyDescent="0.25">
      <c r="E21" s="24"/>
      <c r="H21" s="24"/>
    </row>
  </sheetData>
  <mergeCells count="11">
    <mergeCell ref="B3:B5"/>
    <mergeCell ref="B2:K2"/>
    <mergeCell ref="C3:E3"/>
    <mergeCell ref="F3:K3"/>
    <mergeCell ref="C4:C5"/>
    <mergeCell ref="I4:K4"/>
    <mergeCell ref="D4:D5"/>
    <mergeCell ref="G4:G5"/>
    <mergeCell ref="F4:F5"/>
    <mergeCell ref="E4:E5"/>
    <mergeCell ref="H4:H5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14"/>
  <sheetViews>
    <sheetView workbookViewId="0">
      <selection activeCell="C3" sqref="C3:G3"/>
    </sheetView>
  </sheetViews>
  <sheetFormatPr baseColWidth="10" defaultRowHeight="15.75" x14ac:dyDescent="0.25"/>
  <cols>
    <col min="1" max="1" width="2" style="10" customWidth="1"/>
    <col min="2" max="2" width="7.7109375" style="10" customWidth="1"/>
    <col min="3" max="6" width="15.140625" style="10" customWidth="1"/>
    <col min="7" max="7" width="18.42578125" style="10" customWidth="1"/>
    <col min="8" max="11" width="19.5703125" style="10" customWidth="1"/>
    <col min="12" max="16384" width="11.42578125" style="10"/>
  </cols>
  <sheetData>
    <row r="1" spans="2:11" ht="16.5" thickBot="1" x14ac:dyDescent="0.3"/>
    <row r="2" spans="2:11" ht="24" thickBot="1" x14ac:dyDescent="0.3">
      <c r="B2" s="48" t="s">
        <v>52</v>
      </c>
      <c r="C2" s="49"/>
      <c r="D2" s="49"/>
      <c r="E2" s="49"/>
      <c r="F2" s="49"/>
      <c r="G2" s="49"/>
      <c r="H2" s="49"/>
      <c r="I2" s="49"/>
      <c r="J2" s="49"/>
      <c r="K2" s="50"/>
    </row>
    <row r="3" spans="2:11" ht="19.5" customHeight="1" x14ac:dyDescent="0.25">
      <c r="B3" s="51" t="s">
        <v>34</v>
      </c>
      <c r="C3" s="52" t="s">
        <v>4</v>
      </c>
      <c r="D3" s="52"/>
      <c r="E3" s="52"/>
      <c r="F3" s="52"/>
      <c r="G3" s="52"/>
      <c r="H3" s="52" t="s">
        <v>6</v>
      </c>
      <c r="I3" s="52"/>
      <c r="J3" s="52"/>
      <c r="K3" s="53" t="s">
        <v>41</v>
      </c>
    </row>
    <row r="4" spans="2:11" ht="52.5" thickBot="1" x14ac:dyDescent="0.3">
      <c r="B4" s="54"/>
      <c r="C4" s="40" t="s">
        <v>35</v>
      </c>
      <c r="D4" s="40" t="s">
        <v>5</v>
      </c>
      <c r="E4" s="40" t="s">
        <v>36</v>
      </c>
      <c r="F4" s="40" t="s">
        <v>5</v>
      </c>
      <c r="G4" s="40" t="s">
        <v>37</v>
      </c>
      <c r="H4" s="40" t="s">
        <v>38</v>
      </c>
      <c r="I4" s="40" t="s">
        <v>39</v>
      </c>
      <c r="J4" s="40" t="s">
        <v>40</v>
      </c>
      <c r="K4" s="55"/>
    </row>
    <row r="5" spans="2:11" x14ac:dyDescent="0.25">
      <c r="B5" s="59">
        <v>2016</v>
      </c>
      <c r="C5" s="22">
        <f>(Demanda!E6/3*-1)/1000</f>
        <v>2600</v>
      </c>
      <c r="D5" s="23">
        <f>500000</f>
        <v>500000</v>
      </c>
      <c r="E5" s="23">
        <f>(Demanda!H6/3*-1)/1000</f>
        <v>833.33333333333337</v>
      </c>
      <c r="F5" s="23">
        <v>280000</v>
      </c>
      <c r="G5" s="58">
        <f>(C5*D5)+(E5*F5)</f>
        <v>1533333333.3333333</v>
      </c>
      <c r="H5" s="22">
        <f>C5+E5</f>
        <v>3433.3333333333335</v>
      </c>
      <c r="I5" s="23">
        <v>60000</v>
      </c>
      <c r="J5" s="58">
        <f>H5*I5</f>
        <v>206000000</v>
      </c>
      <c r="K5" s="21">
        <f>G5+J5</f>
        <v>1739333333.3333333</v>
      </c>
    </row>
    <row r="6" spans="2:11" x14ac:dyDescent="0.25">
      <c r="B6" s="60">
        <v>2017</v>
      </c>
      <c r="C6" s="15">
        <f>(Demanda!E7/3*-1)/1000</f>
        <v>2794.6666666666665</v>
      </c>
      <c r="D6" s="16">
        <f t="shared" ref="D6:D14" si="0">500000</f>
        <v>500000</v>
      </c>
      <c r="E6" s="16">
        <f>(Demanda!H7/3*-1)/1000</f>
        <v>971.66666666666663</v>
      </c>
      <c r="F6" s="16">
        <v>280000</v>
      </c>
      <c r="G6" s="19">
        <f t="shared" ref="G6:G14" si="1">(C6*D6)+(E6*F6)</f>
        <v>1669400000</v>
      </c>
      <c r="H6" s="15">
        <f t="shared" ref="H6:H14" si="2">C6+E6</f>
        <v>3766.333333333333</v>
      </c>
      <c r="I6" s="16">
        <v>60000</v>
      </c>
      <c r="J6" s="19">
        <f t="shared" ref="J6:J14" si="3">H6*I6</f>
        <v>225979999.99999997</v>
      </c>
      <c r="K6" s="56">
        <f t="shared" ref="K6:K14" si="4">G6+J6</f>
        <v>1895380000</v>
      </c>
    </row>
    <row r="7" spans="2:11" x14ac:dyDescent="0.25">
      <c r="B7" s="60">
        <v>2018</v>
      </c>
      <c r="C7" s="15">
        <f>(Demanda!E8/3*-1)/1000</f>
        <v>2999.84</v>
      </c>
      <c r="D7" s="16">
        <f t="shared" si="0"/>
        <v>500000</v>
      </c>
      <c r="E7" s="16">
        <f>(Demanda!H8/3*-1)/1000</f>
        <v>1116.5833333333333</v>
      </c>
      <c r="F7" s="16">
        <v>280000</v>
      </c>
      <c r="G7" s="19">
        <f t="shared" si="1"/>
        <v>1812563333.3333333</v>
      </c>
      <c r="H7" s="15">
        <f t="shared" si="2"/>
        <v>4116.4233333333332</v>
      </c>
      <c r="I7" s="16">
        <v>60000</v>
      </c>
      <c r="J7" s="19">
        <f t="shared" si="3"/>
        <v>246985400</v>
      </c>
      <c r="K7" s="56">
        <f t="shared" si="4"/>
        <v>2059548733.3333333</v>
      </c>
    </row>
    <row r="8" spans="2:11" x14ac:dyDescent="0.25">
      <c r="B8" s="60">
        <v>2019</v>
      </c>
      <c r="C8" s="15">
        <f>(Demanda!E9/3*-1)/1000</f>
        <v>3216.0218666666656</v>
      </c>
      <c r="D8" s="16">
        <f t="shared" si="0"/>
        <v>500000</v>
      </c>
      <c r="E8" s="16">
        <f>(Demanda!H9/3*-1)/1000</f>
        <v>1268.3571666666667</v>
      </c>
      <c r="F8" s="16">
        <v>280000</v>
      </c>
      <c r="G8" s="19">
        <f t="shared" si="1"/>
        <v>1963150939.9999995</v>
      </c>
      <c r="H8" s="15">
        <f t="shared" si="2"/>
        <v>4484.3790333333327</v>
      </c>
      <c r="I8" s="16">
        <v>60000</v>
      </c>
      <c r="J8" s="19">
        <f t="shared" si="3"/>
        <v>269062741.99999994</v>
      </c>
      <c r="K8" s="56">
        <f t="shared" si="4"/>
        <v>2232213681.9999995</v>
      </c>
    </row>
    <row r="9" spans="2:11" x14ac:dyDescent="0.25">
      <c r="B9" s="60">
        <v>2020</v>
      </c>
      <c r="C9" s="15">
        <f>(Demanda!E10/3*-1)/1000</f>
        <v>3443.7366559999996</v>
      </c>
      <c r="D9" s="16">
        <f t="shared" si="0"/>
        <v>500000</v>
      </c>
      <c r="E9" s="16">
        <f>(Demanda!H10/3*-1)/1000</f>
        <v>1427.2730583333337</v>
      </c>
      <c r="F9" s="16">
        <v>280000</v>
      </c>
      <c r="G9" s="19">
        <f t="shared" si="1"/>
        <v>2121504784.3333333</v>
      </c>
      <c r="H9" s="15">
        <f t="shared" si="2"/>
        <v>4871.0097143333332</v>
      </c>
      <c r="I9" s="16">
        <v>60000</v>
      </c>
      <c r="J9" s="19">
        <f t="shared" si="3"/>
        <v>292260582.86000001</v>
      </c>
      <c r="K9" s="56">
        <f t="shared" si="4"/>
        <v>2413765367.1933331</v>
      </c>
    </row>
    <row r="10" spans="2:11" x14ac:dyDescent="0.25">
      <c r="B10" s="60">
        <v>2021</v>
      </c>
      <c r="C10" s="15">
        <f>(Demanda!E11/3*-1)/1000</f>
        <v>3683.5322543466673</v>
      </c>
      <c r="D10" s="16">
        <f t="shared" si="0"/>
        <v>500000</v>
      </c>
      <c r="E10" s="16">
        <f>(Demanda!H11/3*-1)/1000</f>
        <v>1593.627401716667</v>
      </c>
      <c r="F10" s="16">
        <v>280000</v>
      </c>
      <c r="G10" s="19">
        <f t="shared" si="1"/>
        <v>2287981799.6540003</v>
      </c>
      <c r="H10" s="15">
        <f t="shared" si="2"/>
        <v>5277.1596560633343</v>
      </c>
      <c r="I10" s="16">
        <v>60000</v>
      </c>
      <c r="J10" s="19">
        <f t="shared" si="3"/>
        <v>316629579.36380005</v>
      </c>
      <c r="K10" s="56">
        <f t="shared" si="4"/>
        <v>2604611379.0178003</v>
      </c>
    </row>
    <row r="11" spans="2:11" x14ac:dyDescent="0.25">
      <c r="B11" s="60">
        <v>2022</v>
      </c>
      <c r="C11" s="15">
        <f>(Demanda!E12/3*-1)/1000</f>
        <v>3935.9810605903999</v>
      </c>
      <c r="D11" s="16">
        <f t="shared" si="0"/>
        <v>500000</v>
      </c>
      <c r="E11" s="16">
        <f>(Demanda!H12/3*-1)/1000</f>
        <v>1767.7285530458341</v>
      </c>
      <c r="F11" s="16">
        <v>280000</v>
      </c>
      <c r="G11" s="19">
        <f t="shared" si="1"/>
        <v>2462954525.1480336</v>
      </c>
      <c r="H11" s="15">
        <f t="shared" si="2"/>
        <v>5703.7096136362343</v>
      </c>
      <c r="I11" s="16">
        <v>60000</v>
      </c>
      <c r="J11" s="19">
        <f t="shared" si="3"/>
        <v>342222576.81817406</v>
      </c>
      <c r="K11" s="56">
        <f t="shared" si="4"/>
        <v>2805177101.9662075</v>
      </c>
    </row>
    <row r="12" spans="2:11" x14ac:dyDescent="0.25">
      <c r="B12" s="60">
        <v>2023</v>
      </c>
      <c r="C12" s="15">
        <f>(Demanda!E13/3*-1)/1000</f>
        <v>4201.6810445659803</v>
      </c>
      <c r="D12" s="16">
        <f t="shared" si="0"/>
        <v>500000</v>
      </c>
      <c r="E12" s="16">
        <f>(Demanda!H13/3*-1)/1000</f>
        <v>1949.8973109807732</v>
      </c>
      <c r="F12" s="16">
        <v>280000</v>
      </c>
      <c r="G12" s="19">
        <f t="shared" si="1"/>
        <v>2646811769.3576069</v>
      </c>
      <c r="H12" s="15">
        <f t="shared" si="2"/>
        <v>6151.5783555467533</v>
      </c>
      <c r="I12" s="16">
        <v>60000</v>
      </c>
      <c r="J12" s="19">
        <f t="shared" si="3"/>
        <v>369094701.33280522</v>
      </c>
      <c r="K12" s="56">
        <f t="shared" si="4"/>
        <v>3015906470.690412</v>
      </c>
    </row>
    <row r="13" spans="2:11" x14ac:dyDescent="0.25">
      <c r="B13" s="60">
        <v>2024</v>
      </c>
      <c r="C13" s="15">
        <f>(Demanda!E14/3*-1)/1000</f>
        <v>4481.2568501471405</v>
      </c>
      <c r="D13" s="16">
        <f t="shared" si="0"/>
        <v>500000</v>
      </c>
      <c r="E13" s="16">
        <f>(Demanda!H14/3*-1)/1000</f>
        <v>2140.4674153912406</v>
      </c>
      <c r="F13" s="16">
        <v>280000</v>
      </c>
      <c r="G13" s="19">
        <f t="shared" si="1"/>
        <v>2839959301.3831177</v>
      </c>
      <c r="H13" s="15">
        <f t="shared" si="2"/>
        <v>6621.7242655383816</v>
      </c>
      <c r="I13" s="16">
        <v>60000</v>
      </c>
      <c r="J13" s="19">
        <f t="shared" si="3"/>
        <v>397303455.93230289</v>
      </c>
      <c r="K13" s="56">
        <f t="shared" si="4"/>
        <v>3237262757.3154206</v>
      </c>
    </row>
    <row r="14" spans="2:11" ht="16.5" thickBot="1" x14ac:dyDescent="0.3">
      <c r="B14" s="61">
        <v>2025</v>
      </c>
      <c r="C14" s="17">
        <f>(Demanda!E15/3*-1)/1000</f>
        <v>4775.3609448655052</v>
      </c>
      <c r="D14" s="18">
        <f t="shared" si="0"/>
        <v>500000</v>
      </c>
      <c r="E14" s="18">
        <f>(Demanda!H15/3*-1)/1000</f>
        <v>2339.786066097839</v>
      </c>
      <c r="F14" s="18">
        <v>280000</v>
      </c>
      <c r="G14" s="20">
        <f t="shared" si="1"/>
        <v>3042820570.9401474</v>
      </c>
      <c r="H14" s="17">
        <f t="shared" si="2"/>
        <v>7115.1470109633447</v>
      </c>
      <c r="I14" s="18">
        <v>60000</v>
      </c>
      <c r="J14" s="20">
        <f t="shared" si="3"/>
        <v>426908820.65780067</v>
      </c>
      <c r="K14" s="57">
        <f t="shared" si="4"/>
        <v>3469729391.5979481</v>
      </c>
    </row>
  </sheetData>
  <mergeCells count="5">
    <mergeCell ref="B2:K2"/>
    <mergeCell ref="H3:J3"/>
    <mergeCell ref="C3:G3"/>
    <mergeCell ref="K3:K4"/>
    <mergeCell ref="B3:B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N17"/>
  <sheetViews>
    <sheetView topLeftCell="B1" workbookViewId="0">
      <selection activeCell="D22" sqref="D22"/>
    </sheetView>
  </sheetViews>
  <sheetFormatPr baseColWidth="10" defaultRowHeight="15.75" x14ac:dyDescent="0.25"/>
  <cols>
    <col min="1" max="2" width="4.140625" style="10" customWidth="1"/>
    <col min="3" max="3" width="38.140625" style="10" customWidth="1"/>
    <col min="4" max="14" width="12.140625" style="10" customWidth="1"/>
    <col min="15" max="16384" width="11.42578125" style="10"/>
  </cols>
  <sheetData>
    <row r="1" spans="3:14" ht="16.5" thickBot="1" x14ac:dyDescent="0.3"/>
    <row r="2" spans="3:14" ht="24" thickBot="1" x14ac:dyDescent="0.3">
      <c r="C2" s="48" t="s">
        <v>53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50"/>
    </row>
    <row r="3" spans="3:14" ht="16.5" thickBot="1" x14ac:dyDescent="0.3">
      <c r="C3" s="83" t="s">
        <v>54</v>
      </c>
      <c r="D3" s="86">
        <v>0</v>
      </c>
      <c r="E3" s="87">
        <v>1</v>
      </c>
      <c r="F3" s="87">
        <v>2</v>
      </c>
      <c r="G3" s="87">
        <v>3</v>
      </c>
      <c r="H3" s="87">
        <v>4</v>
      </c>
      <c r="I3" s="87">
        <v>5</v>
      </c>
      <c r="J3" s="87">
        <v>6</v>
      </c>
      <c r="K3" s="87">
        <v>7</v>
      </c>
      <c r="L3" s="87">
        <v>8</v>
      </c>
      <c r="M3" s="87">
        <v>9</v>
      </c>
      <c r="N3" s="88">
        <v>10</v>
      </c>
    </row>
    <row r="4" spans="3:14" ht="16.5" x14ac:dyDescent="0.3">
      <c r="C4" s="83" t="s">
        <v>14</v>
      </c>
      <c r="D4" s="79">
        <v>0</v>
      </c>
      <c r="E4" s="77">
        <f>IngresosyBenef!G5/1000</f>
        <v>1533333.3333333333</v>
      </c>
      <c r="F4" s="77">
        <f>IngresosyBenef!G6/1000</f>
        <v>1669400</v>
      </c>
      <c r="G4" s="77">
        <f>IngresosyBenef!G7/1000</f>
        <v>1812563.3333333333</v>
      </c>
      <c r="H4" s="77">
        <f>IngresosyBenef!G8/1000</f>
        <v>1963150.9399999995</v>
      </c>
      <c r="I4" s="77">
        <f>IngresosyBenef!G9/1000</f>
        <v>2121504.7843333334</v>
      </c>
      <c r="J4" s="77">
        <f>IngresosyBenef!G10/1000</f>
        <v>2287981.7996540004</v>
      </c>
      <c r="K4" s="77">
        <f>IngresosyBenef!G11/1000</f>
        <v>2462954.5251480336</v>
      </c>
      <c r="L4" s="77">
        <f>IngresosyBenef!G12/1000</f>
        <v>2646811.7693576068</v>
      </c>
      <c r="M4" s="77">
        <f>IngresosyBenef!G13/1000</f>
        <v>2839959.3013831177</v>
      </c>
      <c r="N4" s="78">
        <f>IngresosyBenef!G14/1000</f>
        <v>3042820.5709401476</v>
      </c>
    </row>
    <row r="5" spans="3:14" ht="16.5" x14ac:dyDescent="0.3">
      <c r="C5" s="84" t="s">
        <v>16</v>
      </c>
      <c r="D5" s="3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2">
        <v>0</v>
      </c>
    </row>
    <row r="6" spans="3:14" ht="16.5" x14ac:dyDescent="0.3">
      <c r="C6" s="84" t="s">
        <v>8</v>
      </c>
      <c r="D6" s="3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2">
        <v>0</v>
      </c>
    </row>
    <row r="7" spans="3:14" ht="16.5" x14ac:dyDescent="0.3">
      <c r="C7" s="84" t="s">
        <v>42</v>
      </c>
      <c r="D7" s="75">
        <v>-100000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2">
        <v>0</v>
      </c>
    </row>
    <row r="8" spans="3:14" ht="16.5" x14ac:dyDescent="0.3">
      <c r="C8" s="84" t="s">
        <v>9</v>
      </c>
      <c r="D8" s="75">
        <f>SUM(D9:D11)</f>
        <v>-2272025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2">
        <v>0</v>
      </c>
    </row>
    <row r="9" spans="3:14" ht="16.5" x14ac:dyDescent="0.3">
      <c r="C9" s="84" t="s">
        <v>43</v>
      </c>
      <c r="D9" s="75">
        <v>-230000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2">
        <v>0</v>
      </c>
    </row>
    <row r="10" spans="3:14" ht="16.5" x14ac:dyDescent="0.3">
      <c r="C10" s="84" t="s">
        <v>44</v>
      </c>
      <c r="D10" s="75">
        <v>-897000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2">
        <v>0</v>
      </c>
    </row>
    <row r="11" spans="3:14" ht="16.5" x14ac:dyDescent="0.3">
      <c r="C11" s="84" t="s">
        <v>17</v>
      </c>
      <c r="D11" s="75">
        <v>-1145025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2">
        <v>0</v>
      </c>
    </row>
    <row r="12" spans="3:14" ht="16.5" x14ac:dyDescent="0.3">
      <c r="C12" s="84" t="s">
        <v>10</v>
      </c>
      <c r="D12" s="3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2">
        <v>0</v>
      </c>
    </row>
    <row r="13" spans="3:14" ht="16.5" x14ac:dyDescent="0.3">
      <c r="C13" s="84" t="s">
        <v>18</v>
      </c>
      <c r="D13" s="31">
        <v>0</v>
      </c>
      <c r="E13" s="11">
        <f>E4*0.7</f>
        <v>1073333.3333333333</v>
      </c>
      <c r="F13" s="11">
        <f t="shared" ref="F13:N13" si="0">F4*0.7</f>
        <v>1168580</v>
      </c>
      <c r="G13" s="11">
        <f t="shared" si="0"/>
        <v>1268794.3333333333</v>
      </c>
      <c r="H13" s="11">
        <f t="shared" si="0"/>
        <v>1374205.6579999996</v>
      </c>
      <c r="I13" s="11">
        <f t="shared" si="0"/>
        <v>1485053.3490333334</v>
      </c>
      <c r="J13" s="11">
        <f t="shared" si="0"/>
        <v>1601587.2597578003</v>
      </c>
      <c r="K13" s="11">
        <f t="shared" si="0"/>
        <v>1724068.1676036234</v>
      </c>
      <c r="L13" s="11">
        <f t="shared" si="0"/>
        <v>1852768.2385503247</v>
      </c>
      <c r="M13" s="11">
        <f t="shared" si="0"/>
        <v>1987971.5109681822</v>
      </c>
      <c r="N13" s="12">
        <f t="shared" si="0"/>
        <v>2129974.399658103</v>
      </c>
    </row>
    <row r="14" spans="3:14" ht="16.5" x14ac:dyDescent="0.3">
      <c r="C14" s="84" t="s">
        <v>11</v>
      </c>
      <c r="D14" s="3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2">
        <v>0</v>
      </c>
    </row>
    <row r="15" spans="3:14" ht="16.5" x14ac:dyDescent="0.3">
      <c r="C15" s="84" t="s">
        <v>12</v>
      </c>
      <c r="D15" s="3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2">
        <v>0</v>
      </c>
    </row>
    <row r="16" spans="3:14" ht="16.5" x14ac:dyDescent="0.3">
      <c r="C16" s="84" t="s">
        <v>13</v>
      </c>
      <c r="D16" s="3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2">
        <v>230000</v>
      </c>
    </row>
    <row r="17" spans="3:14" ht="16.5" thickBot="1" x14ac:dyDescent="0.3">
      <c r="C17" s="85" t="s">
        <v>7</v>
      </c>
      <c r="D17" s="80">
        <f>D7+D8</f>
        <v>-2372025</v>
      </c>
      <c r="E17" s="81">
        <f>E4-E13</f>
        <v>460000</v>
      </c>
      <c r="F17" s="81">
        <f t="shared" ref="F17:N17" si="1">F4-F13</f>
        <v>500820</v>
      </c>
      <c r="G17" s="81">
        <f t="shared" si="1"/>
        <v>543769</v>
      </c>
      <c r="H17" s="81">
        <f t="shared" si="1"/>
        <v>588945.28199999989</v>
      </c>
      <c r="I17" s="81">
        <f t="shared" si="1"/>
        <v>636451.43530000001</v>
      </c>
      <c r="J17" s="81">
        <f t="shared" si="1"/>
        <v>686394.53989620018</v>
      </c>
      <c r="K17" s="81">
        <f t="shared" si="1"/>
        <v>738886.35754441028</v>
      </c>
      <c r="L17" s="81">
        <f t="shared" si="1"/>
        <v>794043.53080728208</v>
      </c>
      <c r="M17" s="81">
        <f t="shared" si="1"/>
        <v>851987.79041493544</v>
      </c>
      <c r="N17" s="82">
        <f t="shared" si="1"/>
        <v>912846.17128204461</v>
      </c>
    </row>
  </sheetData>
  <mergeCells count="1">
    <mergeCell ref="C2:N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Q23"/>
  <sheetViews>
    <sheetView workbookViewId="0">
      <selection activeCell="B3" sqref="B3"/>
    </sheetView>
  </sheetViews>
  <sheetFormatPr baseColWidth="10" defaultRowHeight="15.75" x14ac:dyDescent="0.25"/>
  <cols>
    <col min="1" max="1" width="5.5703125" style="10" customWidth="1"/>
    <col min="2" max="2" width="39.7109375" style="10" customWidth="1"/>
    <col min="3" max="3" width="7.85546875" style="10" customWidth="1"/>
    <col min="4" max="14" width="12.42578125" style="10" customWidth="1"/>
    <col min="15" max="15" width="11.42578125" style="10"/>
    <col min="16" max="16" width="25" style="10" customWidth="1"/>
    <col min="17" max="16384" width="11.42578125" style="10"/>
  </cols>
  <sheetData>
    <row r="2" spans="2:14" ht="23.25" x14ac:dyDescent="0.25">
      <c r="B2" s="44" t="s">
        <v>55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2:14" x14ac:dyDescent="0.25">
      <c r="B3" s="89" t="s">
        <v>54</v>
      </c>
      <c r="C3" s="89" t="s">
        <v>19</v>
      </c>
      <c r="D3" s="89">
        <v>0</v>
      </c>
      <c r="E3" s="89">
        <v>1</v>
      </c>
      <c r="F3" s="89">
        <v>2</v>
      </c>
      <c r="G3" s="89">
        <v>3</v>
      </c>
      <c r="H3" s="89">
        <v>4</v>
      </c>
      <c r="I3" s="89">
        <v>5</v>
      </c>
      <c r="J3" s="89">
        <v>6</v>
      </c>
      <c r="K3" s="89">
        <v>7</v>
      </c>
      <c r="L3" s="89">
        <v>8</v>
      </c>
      <c r="M3" s="89">
        <v>9</v>
      </c>
      <c r="N3" s="89">
        <v>10</v>
      </c>
    </row>
    <row r="4" spans="2:14" ht="16.5" x14ac:dyDescent="0.3">
      <c r="B4" s="89" t="s">
        <v>14</v>
      </c>
      <c r="C4" s="90">
        <v>1</v>
      </c>
      <c r="D4" s="11"/>
      <c r="E4" s="11">
        <f>IngresosyBenef!G5/1000</f>
        <v>1533333.3333333333</v>
      </c>
      <c r="F4" s="11">
        <f>IngresosyBenef!G6/1000</f>
        <v>1669400</v>
      </c>
      <c r="G4" s="11">
        <f>IngresosyBenef!G7/1000</f>
        <v>1812563.3333333333</v>
      </c>
      <c r="H4" s="11">
        <f>IngresosyBenef!G8/1000</f>
        <v>1963150.9399999995</v>
      </c>
      <c r="I4" s="11">
        <f>IngresosyBenef!G9/1000</f>
        <v>2121504.7843333334</v>
      </c>
      <c r="J4" s="11">
        <f>IngresosyBenef!G10/1000</f>
        <v>2287981.7996540004</v>
      </c>
      <c r="K4" s="11">
        <f>IngresosyBenef!G11/1000</f>
        <v>2462954.5251480336</v>
      </c>
      <c r="L4" s="11">
        <f>IngresosyBenef!G12/1000</f>
        <v>2646811.7693576068</v>
      </c>
      <c r="M4" s="11">
        <f>IngresosyBenef!G13/1000</f>
        <v>2839959.3013831177</v>
      </c>
      <c r="N4" s="11">
        <f>IngresosyBenef!G14/1000</f>
        <v>3042820.5709401476</v>
      </c>
    </row>
    <row r="5" spans="2:14" ht="16.5" x14ac:dyDescent="0.3">
      <c r="B5" s="89" t="s">
        <v>15</v>
      </c>
      <c r="C5" s="90">
        <v>1</v>
      </c>
      <c r="D5" s="11"/>
      <c r="E5" s="11">
        <f>IngresosyBenef!J5/1000</f>
        <v>206000</v>
      </c>
      <c r="F5" s="11">
        <f>IngresosyBenef!J6/1000</f>
        <v>225979.99999999997</v>
      </c>
      <c r="G5" s="11">
        <f>IngresosyBenef!J7/1000</f>
        <v>246985.4</v>
      </c>
      <c r="H5" s="11">
        <f>IngresosyBenef!J8/1000</f>
        <v>269062.74199999997</v>
      </c>
      <c r="I5" s="11">
        <f>IngresosyBenef!J9/1000</f>
        <v>292260.58286000002</v>
      </c>
      <c r="J5" s="11">
        <f>IngresosyBenef!J10/1000</f>
        <v>316629.57936380006</v>
      </c>
      <c r="K5" s="11">
        <f>IngresosyBenef!J11/1000</f>
        <v>342222.57681817404</v>
      </c>
      <c r="L5" s="11">
        <f>IngresosyBenef!J12/1000</f>
        <v>369094.70133280521</v>
      </c>
      <c r="M5" s="11">
        <f>IngresosyBenef!J13/1000</f>
        <v>397303.45593230287</v>
      </c>
      <c r="N5" s="11">
        <f>IngresosyBenef!J14/1000</f>
        <v>426908.82065780065</v>
      </c>
    </row>
    <row r="6" spans="2:14" ht="16.5" x14ac:dyDescent="0.3">
      <c r="B6" s="89" t="s">
        <v>16</v>
      </c>
      <c r="C6" s="90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2:14" ht="16.5" x14ac:dyDescent="0.3">
      <c r="B7" s="89" t="s">
        <v>8</v>
      </c>
      <c r="C7" s="91"/>
      <c r="D7" s="30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2:14" ht="16.5" x14ac:dyDescent="0.3">
      <c r="B8" s="89" t="s">
        <v>42</v>
      </c>
      <c r="C8" s="90">
        <v>1</v>
      </c>
      <c r="D8" s="76">
        <f>-100000*C8</f>
        <v>-100000</v>
      </c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2:14" ht="16.5" x14ac:dyDescent="0.3">
      <c r="B9" s="89" t="s">
        <v>9</v>
      </c>
      <c r="C9" s="90">
        <v>0.78</v>
      </c>
      <c r="D9" s="76">
        <f>SUM(D10:D12)*C9</f>
        <v>-1334274.24</v>
      </c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2:14" ht="16.5" x14ac:dyDescent="0.3">
      <c r="B10" s="89" t="s">
        <v>43</v>
      </c>
      <c r="C10" s="90">
        <v>0.85</v>
      </c>
      <c r="D10" s="76">
        <f>-230000*C10</f>
        <v>-195500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2:14" ht="16.5" x14ac:dyDescent="0.3">
      <c r="B11" s="89" t="s">
        <v>44</v>
      </c>
      <c r="C11" s="90">
        <v>0.77</v>
      </c>
      <c r="D11" s="76">
        <f>-897000*C11</f>
        <v>-690690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2:14" ht="16.5" x14ac:dyDescent="0.3">
      <c r="B12" s="89" t="s">
        <v>17</v>
      </c>
      <c r="C12" s="90">
        <v>0.72</v>
      </c>
      <c r="D12" s="76">
        <f>-1145025*C12</f>
        <v>-824418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2:14" ht="16.5" x14ac:dyDescent="0.3">
      <c r="B13" s="89" t="s">
        <v>10</v>
      </c>
      <c r="C13" s="90"/>
      <c r="D13" s="30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2:14" ht="16.5" x14ac:dyDescent="0.3">
      <c r="B14" s="89" t="s">
        <v>18</v>
      </c>
      <c r="C14" s="90">
        <v>1</v>
      </c>
      <c r="D14" s="11"/>
      <c r="E14" s="11">
        <f>E4*0.7</f>
        <v>1073333.3333333333</v>
      </c>
      <c r="F14" s="11">
        <f t="shared" ref="F14:N14" si="0">F4*0.7</f>
        <v>1168580</v>
      </c>
      <c r="G14" s="11">
        <f t="shared" si="0"/>
        <v>1268794.3333333333</v>
      </c>
      <c r="H14" s="11">
        <f t="shared" si="0"/>
        <v>1374205.6579999996</v>
      </c>
      <c r="I14" s="11">
        <f t="shared" si="0"/>
        <v>1485053.3490333334</v>
      </c>
      <c r="J14" s="11">
        <f t="shared" si="0"/>
        <v>1601587.2597578003</v>
      </c>
      <c r="K14" s="11">
        <f t="shared" si="0"/>
        <v>1724068.1676036234</v>
      </c>
      <c r="L14" s="11">
        <f t="shared" si="0"/>
        <v>1852768.2385503247</v>
      </c>
      <c r="M14" s="11">
        <f t="shared" si="0"/>
        <v>1987971.5109681822</v>
      </c>
      <c r="N14" s="11">
        <f t="shared" si="0"/>
        <v>2129974.399658103</v>
      </c>
    </row>
    <row r="15" spans="2:14" ht="16.5" x14ac:dyDescent="0.3">
      <c r="B15" s="89" t="s">
        <v>11</v>
      </c>
      <c r="C15" s="9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2:14" ht="16.5" x14ac:dyDescent="0.3">
      <c r="B16" s="89" t="s">
        <v>12</v>
      </c>
      <c r="C16" s="90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2:17" ht="16.5" x14ac:dyDescent="0.3">
      <c r="B17" s="89" t="s">
        <v>13</v>
      </c>
      <c r="C17" s="90">
        <v>0.77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>
        <f>230000*C17</f>
        <v>177100</v>
      </c>
      <c r="P17" s="26"/>
      <c r="Q17" s="26"/>
    </row>
    <row r="18" spans="2:17" ht="16.5" x14ac:dyDescent="0.3">
      <c r="B18" s="89" t="s">
        <v>7</v>
      </c>
      <c r="C18" s="92"/>
      <c r="D18" s="93">
        <f>D8+D9</f>
        <v>-1434274.24</v>
      </c>
      <c r="E18" s="93">
        <f>E4+E5-E14</f>
        <v>666000</v>
      </c>
      <c r="F18" s="93">
        <f t="shared" ref="F18:N18" si="1">F4+F5-F14</f>
        <v>726800</v>
      </c>
      <c r="G18" s="93">
        <f t="shared" si="1"/>
        <v>790754.39999999991</v>
      </c>
      <c r="H18" s="93">
        <f t="shared" si="1"/>
        <v>858008.02399999998</v>
      </c>
      <c r="I18" s="93">
        <f t="shared" si="1"/>
        <v>928712.01815999998</v>
      </c>
      <c r="J18" s="93">
        <f t="shared" si="1"/>
        <v>1003024.1192600003</v>
      </c>
      <c r="K18" s="93">
        <f t="shared" si="1"/>
        <v>1081108.9343625845</v>
      </c>
      <c r="L18" s="93">
        <f t="shared" si="1"/>
        <v>1163138.2321400873</v>
      </c>
      <c r="M18" s="93">
        <f t="shared" si="1"/>
        <v>1249291.2463472383</v>
      </c>
      <c r="N18" s="93">
        <f t="shared" si="1"/>
        <v>1339754.991939845</v>
      </c>
      <c r="P18" s="27"/>
      <c r="Q18" s="28"/>
    </row>
    <row r="19" spans="2:17" x14ac:dyDescent="0.25">
      <c r="P19" s="27"/>
      <c r="Q19" s="28"/>
    </row>
    <row r="20" spans="2:17" x14ac:dyDescent="0.25">
      <c r="P20" s="27"/>
      <c r="Q20" s="28"/>
    </row>
    <row r="21" spans="2:17" x14ac:dyDescent="0.25">
      <c r="P21" s="27"/>
      <c r="Q21" s="28"/>
    </row>
    <row r="22" spans="2:17" x14ac:dyDescent="0.25">
      <c r="P22" s="27"/>
      <c r="Q22" s="28"/>
    </row>
    <row r="23" spans="2:17" x14ac:dyDescent="0.25">
      <c r="P23" s="27"/>
      <c r="Q23" s="28"/>
    </row>
  </sheetData>
  <mergeCells count="1">
    <mergeCell ref="B2:N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O7"/>
  <sheetViews>
    <sheetView workbookViewId="0">
      <selection activeCell="B3" sqref="B3:M3"/>
    </sheetView>
  </sheetViews>
  <sheetFormatPr baseColWidth="10" defaultRowHeight="15" x14ac:dyDescent="0.25"/>
  <cols>
    <col min="1" max="1" width="11.42578125" style="29"/>
    <col min="2" max="2" width="34.85546875" style="29" customWidth="1"/>
    <col min="3" max="13" width="13" style="29" customWidth="1"/>
    <col min="14" max="14" width="12.7109375" style="29" bestFit="1" customWidth="1"/>
    <col min="15" max="16384" width="11.42578125" style="29"/>
  </cols>
  <sheetData>
    <row r="1" spans="2:15" ht="15.75" thickBot="1" x14ac:dyDescent="0.3"/>
    <row r="2" spans="2:15" ht="24" thickBot="1" x14ac:dyDescent="0.3">
      <c r="B2" s="97" t="s">
        <v>56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9"/>
    </row>
    <row r="3" spans="2:15" x14ac:dyDescent="0.25">
      <c r="B3" s="83" t="s">
        <v>54</v>
      </c>
      <c r="C3" s="100">
        <v>0</v>
      </c>
      <c r="D3" s="101">
        <v>1</v>
      </c>
      <c r="E3" s="101">
        <v>2</v>
      </c>
      <c r="F3" s="101">
        <v>3</v>
      </c>
      <c r="G3" s="101">
        <v>4</v>
      </c>
      <c r="H3" s="101">
        <v>5</v>
      </c>
      <c r="I3" s="101">
        <v>6</v>
      </c>
      <c r="J3" s="101">
        <v>7</v>
      </c>
      <c r="K3" s="101">
        <v>8</v>
      </c>
      <c r="L3" s="101">
        <v>9</v>
      </c>
      <c r="M3" s="102">
        <v>10</v>
      </c>
    </row>
    <row r="4" spans="2:15" x14ac:dyDescent="0.25">
      <c r="B4" s="84" t="s">
        <v>48</v>
      </c>
      <c r="C4" s="103">
        <f>FlujoFro!D17</f>
        <v>-2372025</v>
      </c>
      <c r="D4" s="96">
        <f>FlujoFro!E17</f>
        <v>460000</v>
      </c>
      <c r="E4" s="96">
        <f>FlujoFro!F17</f>
        <v>500820</v>
      </c>
      <c r="F4" s="96">
        <f>FlujoFro!G17</f>
        <v>543769</v>
      </c>
      <c r="G4" s="96">
        <f>FlujoFro!H17</f>
        <v>588945.28199999989</v>
      </c>
      <c r="H4" s="96">
        <f>FlujoFro!I17</f>
        <v>636451.43530000001</v>
      </c>
      <c r="I4" s="96">
        <f>FlujoFro!J17</f>
        <v>686394.53989620018</v>
      </c>
      <c r="J4" s="96">
        <f>FlujoFro!K17</f>
        <v>738886.35754441028</v>
      </c>
      <c r="K4" s="96">
        <f>FlujoFro!L17</f>
        <v>794043.53080728208</v>
      </c>
      <c r="L4" s="96">
        <f>FlujoFro!M17</f>
        <v>851987.79041493544</v>
      </c>
      <c r="M4" s="104">
        <f>FlujoFro!N17</f>
        <v>912846.17128204461</v>
      </c>
    </row>
    <row r="5" spans="2:15" ht="15.75" thickBot="1" x14ac:dyDescent="0.3">
      <c r="B5" s="84" t="s">
        <v>21</v>
      </c>
      <c r="C5" s="105">
        <f>C4</f>
        <v>-2372025</v>
      </c>
      <c r="D5" s="94">
        <f>NPV(5%,D4)</f>
        <v>438095.23809523805</v>
      </c>
      <c r="E5" s="94">
        <f>NPV(5%,,E4)</f>
        <v>454258.50340136053</v>
      </c>
      <c r="F5" s="94">
        <f>NPV(5%,,,F4)</f>
        <v>469728.10711586219</v>
      </c>
      <c r="G5" s="94">
        <f>NPV(5%,,,,G4)</f>
        <v>484526.74101840262</v>
      </c>
      <c r="H5" s="94">
        <f>NPV(5%,,,,,H4)</f>
        <v>498676.35324395739</v>
      </c>
      <c r="I5" s="94">
        <f>NPV(5%,,,,,,I4)</f>
        <v>512198.17383785843</v>
      </c>
      <c r="J5" s="94">
        <f>NPV(5%,,,,,,,J4)</f>
        <v>525112.73939466185</v>
      </c>
      <c r="K5" s="94">
        <f>NPV(5%,,,,,,,,K4)</f>
        <v>537439.91681460687</v>
      </c>
      <c r="L5" s="94">
        <f>NPV(5%,,,,,,,,,L4)</f>
        <v>549198.92621016712</v>
      </c>
      <c r="M5" s="95">
        <f>NPV(5%,,,,,,,,,,M4)</f>
        <v>560408.36299398518</v>
      </c>
      <c r="O5" s="32"/>
    </row>
    <row r="6" spans="2:15" ht="15.75" thickBot="1" x14ac:dyDescent="0.3">
      <c r="B6" s="84" t="s">
        <v>47</v>
      </c>
      <c r="C6" s="106">
        <f>SUM(C5:M5)</f>
        <v>2657618.0621261001</v>
      </c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2:15" ht="15.75" thickBot="1" x14ac:dyDescent="0.3">
      <c r="B7" s="85" t="s">
        <v>23</v>
      </c>
      <c r="C7" s="107">
        <f>IRR(C5:M5)</f>
        <v>0.15790228378701876</v>
      </c>
      <c r="D7" s="25"/>
      <c r="E7" s="25"/>
      <c r="F7" s="25"/>
      <c r="G7" s="25"/>
      <c r="H7" s="25"/>
      <c r="I7" s="25"/>
      <c r="J7" s="25"/>
      <c r="K7" s="25"/>
      <c r="L7" s="25"/>
      <c r="M7" s="25"/>
    </row>
  </sheetData>
  <mergeCells count="1">
    <mergeCell ref="B2:M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O9"/>
  <sheetViews>
    <sheetView tabSelected="1" workbookViewId="0">
      <selection activeCell="C13" sqref="C13"/>
    </sheetView>
  </sheetViews>
  <sheetFormatPr baseColWidth="10" defaultRowHeight="15" x14ac:dyDescent="0.25"/>
  <cols>
    <col min="1" max="1" width="7.5703125" style="29" customWidth="1"/>
    <col min="2" max="2" width="34.85546875" style="29" customWidth="1"/>
    <col min="3" max="3" width="13.42578125" style="29" bestFit="1" customWidth="1"/>
    <col min="4" max="13" width="13" style="29" customWidth="1"/>
    <col min="14" max="14" width="12.7109375" style="29" bestFit="1" customWidth="1"/>
    <col min="15" max="16384" width="11.42578125" style="29"/>
  </cols>
  <sheetData>
    <row r="1" spans="2:15" ht="15.75" thickBot="1" x14ac:dyDescent="0.3"/>
    <row r="2" spans="2:15" ht="23.25" x14ac:dyDescent="0.25">
      <c r="B2" s="45" t="s">
        <v>57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2:15" x14ac:dyDescent="0.25">
      <c r="B3" s="109" t="s">
        <v>54</v>
      </c>
      <c r="C3" s="89">
        <v>0</v>
      </c>
      <c r="D3" s="89">
        <v>1</v>
      </c>
      <c r="E3" s="89">
        <v>2</v>
      </c>
      <c r="F3" s="89">
        <v>3</v>
      </c>
      <c r="G3" s="89">
        <v>4</v>
      </c>
      <c r="H3" s="89">
        <v>5</v>
      </c>
      <c r="I3" s="89">
        <v>6</v>
      </c>
      <c r="J3" s="89">
        <v>7</v>
      </c>
      <c r="K3" s="89">
        <v>8</v>
      </c>
      <c r="L3" s="89">
        <v>9</v>
      </c>
      <c r="M3" s="110">
        <v>10</v>
      </c>
    </row>
    <row r="4" spans="2:15" x14ac:dyDescent="0.25">
      <c r="B4" s="109" t="s">
        <v>49</v>
      </c>
      <c r="C4" s="108">
        <f>FlujoEcon!D18</f>
        <v>-1434274.24</v>
      </c>
      <c r="D4" s="108">
        <f>FlujoEcon!E18</f>
        <v>666000</v>
      </c>
      <c r="E4" s="108">
        <f>FlujoEcon!F18</f>
        <v>726800</v>
      </c>
      <c r="F4" s="108">
        <f>FlujoEcon!G18</f>
        <v>790754.39999999991</v>
      </c>
      <c r="G4" s="108">
        <f>FlujoEcon!H18</f>
        <v>858008.02399999998</v>
      </c>
      <c r="H4" s="108">
        <f>FlujoEcon!I18</f>
        <v>928712.01815999998</v>
      </c>
      <c r="I4" s="108">
        <f>FlujoEcon!J18</f>
        <v>1003024.1192600003</v>
      </c>
      <c r="J4" s="108">
        <f>FlujoEcon!K18</f>
        <v>1081108.9343625845</v>
      </c>
      <c r="K4" s="108">
        <f>FlujoEcon!L18</f>
        <v>1163138.2321400873</v>
      </c>
      <c r="L4" s="108">
        <f>FlujoEcon!M18</f>
        <v>1249291.2463472383</v>
      </c>
      <c r="M4" s="111">
        <f>FlujoEcon!N18</f>
        <v>1339754.991939845</v>
      </c>
    </row>
    <row r="5" spans="2:15" ht="15.75" thickBot="1" x14ac:dyDescent="0.3">
      <c r="B5" s="112" t="s">
        <v>24</v>
      </c>
      <c r="C5" s="33">
        <f>C4</f>
        <v>-1434274.24</v>
      </c>
      <c r="D5" s="33">
        <f>NPV(12%,D4)</f>
        <v>594642.85714285704</v>
      </c>
      <c r="E5" s="33">
        <f>NPV(12%,,E4)</f>
        <v>579400.51020408154</v>
      </c>
      <c r="F5" s="33">
        <f>NPV(12%,,,F4)</f>
        <v>562843.36279154499</v>
      </c>
      <c r="G5" s="33">
        <f>NPV(12%,,,,G4)</f>
        <v>545279.61066840612</v>
      </c>
      <c r="H5" s="33">
        <f>NPV(12%,,,,,H4)</f>
        <v>526976.14033260325</v>
      </c>
      <c r="I5" s="33">
        <f>NPV(12%,,,,,,I4)</f>
        <v>508163.23410858848</v>
      </c>
      <c r="J5" s="33">
        <f>NPV(12%,,,,,,,J4)</f>
        <v>489038.77815262007</v>
      </c>
      <c r="K5" s="33">
        <f>NPV(12%,,,,,,,,K4)</f>
        <v>469772.02378295513</v>
      </c>
      <c r="L5" s="33">
        <f>NPV(12%,,,,,,,,,L4)</f>
        <v>450506.94755454618</v>
      </c>
      <c r="M5" s="34">
        <f>NPV(12%,,,,,,,,,,M4)</f>
        <v>431365.25099341362</v>
      </c>
      <c r="O5" s="32"/>
    </row>
    <row r="6" spans="2:15" ht="15.75" thickBot="1" x14ac:dyDescent="0.3">
      <c r="B6" s="113" t="s">
        <v>45</v>
      </c>
      <c r="C6" s="106">
        <f>SUM(C5:M5)</f>
        <v>3723714.4757316168</v>
      </c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2:15" ht="15.75" thickBot="1" x14ac:dyDescent="0.3">
      <c r="B7" s="113" t="s">
        <v>46</v>
      </c>
      <c r="C7" s="107">
        <f>IRR(C5:M5)</f>
        <v>0.37156656773845542</v>
      </c>
    </row>
    <row r="8" spans="2:15" ht="15.75" thickBot="1" x14ac:dyDescent="0.3"/>
    <row r="9" spans="2:15" ht="27" thickBot="1" x14ac:dyDescent="0.3">
      <c r="B9" s="113" t="s">
        <v>50</v>
      </c>
      <c r="C9" s="114">
        <f>NPV(12%,D4,E4,F4,G4,H4,I4,J4,K4,L4,M4)+C4</f>
        <v>3723714.4757316159</v>
      </c>
    </row>
  </sheetData>
  <mergeCells count="1">
    <mergeCell ref="B2:M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N11"/>
  <sheetViews>
    <sheetView workbookViewId="0">
      <selection activeCell="B11" sqref="B11"/>
    </sheetView>
  </sheetViews>
  <sheetFormatPr baseColWidth="10" defaultRowHeight="15" x14ac:dyDescent="0.25"/>
  <cols>
    <col min="1" max="1" width="25.85546875" customWidth="1"/>
    <col min="2" max="2" width="8" customWidth="1"/>
    <col min="3" max="12" width="6.7109375" customWidth="1"/>
    <col min="13" max="13" width="12.7109375" bestFit="1" customWidth="1"/>
  </cols>
  <sheetData>
    <row r="2" spans="1:14" x14ac:dyDescent="0.25">
      <c r="A2" s="1"/>
      <c r="B2" s="2">
        <v>0</v>
      </c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</row>
    <row r="3" spans="1:14" x14ac:dyDescent="0.25">
      <c r="A3" s="3" t="s">
        <v>20</v>
      </c>
      <c r="B3" s="4">
        <v>-2372025</v>
      </c>
      <c r="C3" s="4">
        <v>460000</v>
      </c>
      <c r="D3" s="4">
        <v>500820</v>
      </c>
      <c r="E3" s="4">
        <v>543769</v>
      </c>
      <c r="F3" s="4">
        <v>588945.28199999989</v>
      </c>
      <c r="G3" s="4">
        <v>636451.43530000001</v>
      </c>
      <c r="H3" s="4">
        <v>686394.53989620018</v>
      </c>
      <c r="I3" s="4">
        <v>738886.35754441028</v>
      </c>
      <c r="J3" s="4">
        <v>794043.53080728208</v>
      </c>
      <c r="K3" s="4">
        <v>851987.79041493544</v>
      </c>
      <c r="L3" s="4">
        <v>912846.17128204461</v>
      </c>
    </row>
    <row r="4" spans="1:14" x14ac:dyDescent="0.25">
      <c r="A4" s="5" t="s">
        <v>21</v>
      </c>
      <c r="B4" s="4">
        <v>-2372025</v>
      </c>
      <c r="C4" s="4">
        <f>NPV(5%,C3)</f>
        <v>438095.23809523805</v>
      </c>
      <c r="D4" s="4">
        <f>NPV(5%,,D3)</f>
        <v>454258.50340136053</v>
      </c>
      <c r="E4" s="4">
        <f>NPV(5%,,,E3)</f>
        <v>469728.10711586219</v>
      </c>
      <c r="F4" s="4">
        <f>NPV(5%,,,,F3)</f>
        <v>484526.74101840262</v>
      </c>
      <c r="G4" s="4">
        <f>NPV(5%,,,,,G3)</f>
        <v>498676.35324395739</v>
      </c>
      <c r="H4" s="4">
        <f>NPV(5%,,,,,,H3)</f>
        <v>512198.17383785843</v>
      </c>
      <c r="I4" s="4">
        <f>NPV(5%,,,,,,,I3)</f>
        <v>525112.73939466185</v>
      </c>
      <c r="J4" s="4">
        <f>NPV(5%,,,,,,,,J3)</f>
        <v>537439.91681460687</v>
      </c>
      <c r="K4" s="4">
        <f>NPV(5%,,,,,,,,,K3)</f>
        <v>549198.92621016712</v>
      </c>
      <c r="L4" s="4">
        <f>NPV(5%,,,,,,,,,,L3)</f>
        <v>560408.36299398518</v>
      </c>
      <c r="N4" s="6"/>
    </row>
    <row r="5" spans="1:14" x14ac:dyDescent="0.25">
      <c r="A5" s="3" t="s">
        <v>22</v>
      </c>
      <c r="B5" s="7">
        <f>SUM(B4:L4)</f>
        <v>2657618.0621261001</v>
      </c>
      <c r="C5" s="4"/>
      <c r="D5" s="4"/>
      <c r="E5" s="4"/>
      <c r="F5" s="4"/>
      <c r="G5" s="4"/>
      <c r="H5" s="4"/>
      <c r="I5" s="4"/>
      <c r="J5" s="4"/>
      <c r="K5" s="4"/>
      <c r="L5" s="4"/>
      <c r="M5" s="6"/>
      <c r="N5" s="6"/>
    </row>
    <row r="6" spans="1:14" x14ac:dyDescent="0.25">
      <c r="A6" s="3" t="s">
        <v>23</v>
      </c>
      <c r="B6" s="8">
        <f>IRR(B4:L4)</f>
        <v>0.15790228378701876</v>
      </c>
      <c r="C6" s="4"/>
      <c r="D6" s="4"/>
      <c r="E6" s="4"/>
      <c r="F6" s="4"/>
      <c r="G6" s="4"/>
      <c r="H6" s="4"/>
      <c r="I6" s="4"/>
      <c r="J6" s="4"/>
      <c r="K6" s="4"/>
      <c r="L6" s="4"/>
    </row>
    <row r="7" spans="1:14" x14ac:dyDescent="0.25">
      <c r="A7" s="3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4" x14ac:dyDescent="0.25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4" x14ac:dyDescent="0.25">
      <c r="A9" s="5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4" x14ac:dyDescent="0.25">
      <c r="A10" s="3"/>
      <c r="B10" s="7"/>
    </row>
    <row r="11" spans="1:14" x14ac:dyDescent="0.25">
      <c r="A11" s="3"/>
      <c r="B11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FE3AEE16ED7D4D8DBFBE09F91AB1F1" ma:contentTypeVersion="0" ma:contentTypeDescription="Crear nuevo documento." ma:contentTypeScope="" ma:versionID="ad0416275e044a67d91c0531178dcd42">
  <xsd:schema xmlns:xsd="http://www.w3.org/2001/XMLSchema" xmlns:xs="http://www.w3.org/2001/XMLSchema" xmlns:p="http://schemas.microsoft.com/office/2006/metadata/properties" xmlns:ns2="af7f7f6b-44e7-444a-90a4-d02bbf46acb6" targetNamespace="http://schemas.microsoft.com/office/2006/metadata/properties" ma:root="true" ma:fieldsID="22da86d825143a73a30775302da6a898" ns2:_="">
    <xsd:import namespace="af7f7f6b-44e7-444a-90a4-d02bbf46acb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7f7f6b-44e7-444a-90a4-d02bbf46acb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f7f7f6b-44e7-444a-90a4-d02bbf46acb6">DNPOI-81-322</_dlc_DocId>
    <_dlc_DocIdUrl xmlns="af7f7f6b-44e7-444a-90a4-d02bbf46acb6">
      <Url>https://colaboracion.dnp.gov.co/CDT/_layouts/15/DocIdRedir.aspx?ID=DNPOI-81-322</Url>
      <Description>DNPOI-81-322</Description>
    </_dlc_DocIdUrl>
  </documentManagement>
</p:properties>
</file>

<file path=customXml/itemProps1.xml><?xml version="1.0" encoding="utf-8"?>
<ds:datastoreItem xmlns:ds="http://schemas.openxmlformats.org/officeDocument/2006/customXml" ds:itemID="{3592B977-4E93-4D31-AFAD-1D9027008658}"/>
</file>

<file path=customXml/itemProps2.xml><?xml version="1.0" encoding="utf-8"?>
<ds:datastoreItem xmlns:ds="http://schemas.openxmlformats.org/officeDocument/2006/customXml" ds:itemID="{4A580B60-FFB1-4F8C-A52F-F7D8358DBEA2}"/>
</file>

<file path=customXml/itemProps3.xml><?xml version="1.0" encoding="utf-8"?>
<ds:datastoreItem xmlns:ds="http://schemas.openxmlformats.org/officeDocument/2006/customXml" ds:itemID="{48B720CB-2287-426F-A22E-260FF5BF5F14}"/>
</file>

<file path=customXml/itemProps4.xml><?xml version="1.0" encoding="utf-8"?>
<ds:datastoreItem xmlns:ds="http://schemas.openxmlformats.org/officeDocument/2006/customXml" ds:itemID="{8CE2ECE1-0515-4D99-8980-84423D1E37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Demanda</vt:lpstr>
      <vt:lpstr>IngresosyBenef</vt:lpstr>
      <vt:lpstr>FlujoFro</vt:lpstr>
      <vt:lpstr>FlujoEcon</vt:lpstr>
      <vt:lpstr>VPN-TIR</vt:lpstr>
      <vt:lpstr>VPNE-TIRE</vt:lpstr>
      <vt:lpstr>Tabla 10.1</vt:lpstr>
    </vt:vector>
  </TitlesOfParts>
  <Company>GP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JANUS</dc:creator>
  <cp:lastModifiedBy>Jordan David Cardona Grijalba</cp:lastModifiedBy>
  <dcterms:created xsi:type="dcterms:W3CDTF">2015-06-24T02:17:29Z</dcterms:created>
  <dcterms:modified xsi:type="dcterms:W3CDTF">2019-04-02T21:00:20Z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0x01010080FE3AEE16ED7D4D8DBFBE09F91AB1F1</vt:lpwstr>
  </property>
  <property fmtid="{D5CDD505-2E9C-101B-9397-08002B2CF9AE}" pid="3" name="_dlc_DocIdItemGuid">
    <vt:lpwstr>e107abba-224d-4cae-9d69-4458ffca6550</vt:lpwstr>
  </property>
</Properties>
</file>